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6.xml" ContentType="application/vnd.openxmlformats-officedocument.spreadsheetml.comments+xml"/>
  <Override PartName="/xl/drawings/drawing8.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7.xml" ContentType="application/vnd.openxmlformats-officedocument.spreadsheetml.comments+xml"/>
  <Override PartName="/xl/drawings/drawing9.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omments8.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kakunin\kakunin$\06職員別保存DATA\中田\省エネ関連\（住宅性能評価・表示協会）外皮計算シート 、部位U値、内部結露\外皮計算シート\最新　戸建Ver2.5\"/>
    </mc:Choice>
  </mc:AlternateContent>
  <xr:revisionPtr revIDLastSave="0" documentId="13_ncr:1_{88501A00-8D0E-4EBB-877C-52EBAF6BA17A}" xr6:coauthVersionLast="47" xr6:coauthVersionMax="47" xr10:uidLastSave="{00000000-0000-0000-0000-000000000000}"/>
  <bookViews>
    <workbookView xWindow="-120" yWindow="-120" windowWidth="29040" windowHeight="15840" xr2:uid="{1FD93D19-C68E-4D7A-A753-65DD3094395D}"/>
  </bookViews>
  <sheets>
    <sheet name="共通条件・結果" sheetId="131" r:id="rId1"/>
    <sheet name="Ａ（北）" sheetId="112" r:id="rId2"/>
    <sheet name="Ａ（北東）" sheetId="121" r:id="rId3"/>
    <sheet name="Ａ（東）" sheetId="122" r:id="rId4"/>
    <sheet name="Ａ（南東）" sheetId="123" r:id="rId5"/>
    <sheet name="Ａ（南）" sheetId="124" r:id="rId6"/>
    <sheet name="Ａ（南西）" sheetId="125" r:id="rId7"/>
    <sheet name="Ａ（西）" sheetId="126" r:id="rId8"/>
    <sheet name="Ａ（北西）" sheetId="127" r:id="rId9"/>
    <sheet name="Ｂ（屋根・床等）" sheetId="110" r:id="rId10"/>
    <sheet name="Ｃ（基礎）" sheetId="130" r:id="rId11"/>
    <sheet name="【付録】" sheetId="129" r:id="rId12"/>
    <sheet name="外皮計算書についてのQ&amp;A" sheetId="132" r:id="rId13"/>
    <sheet name="更新履歴" sheetId="128" r:id="rId14"/>
  </sheets>
  <externalReferences>
    <externalReference r:id="rId15"/>
    <externalReference r:id="rId16"/>
    <externalReference r:id="rId17"/>
    <externalReference r:id="rId18"/>
  </externalReferences>
  <definedNames>
    <definedName name="_xlnm.Print_Area" localSheetId="11">【付録】!$A$1:$AC$45</definedName>
    <definedName name="_xlnm.Print_Area" localSheetId="7">'Ａ（西）'!$B$2:$AA$46</definedName>
    <definedName name="_xlnm.Print_Area" localSheetId="3">'Ａ（東）'!$B$2:$AA$46</definedName>
    <definedName name="_xlnm.Print_Area" localSheetId="5">'Ａ（南）'!$B$2:$AA$46</definedName>
    <definedName name="_xlnm.Print_Area" localSheetId="6">'Ａ（南西）'!$B$2:$AA$46</definedName>
    <definedName name="_xlnm.Print_Area" localSheetId="4">'Ａ（南東）'!$B$2:$AA$46</definedName>
    <definedName name="_xlnm.Print_Area" localSheetId="1">'Ａ（北）'!$B$2:$AA$46</definedName>
    <definedName name="_xlnm.Print_Area" localSheetId="8">'Ａ（北西）'!$B$2:$AA$46</definedName>
    <definedName name="_xlnm.Print_Area" localSheetId="2">'Ａ（北東）'!$B$2:$AA$46</definedName>
    <definedName name="_xlnm.Print_Area" localSheetId="9">'Ｂ（屋根・床等）'!$B$2:$AA$35</definedName>
    <definedName name="_xlnm.Print_Area" localSheetId="10">'Ｃ（基礎）'!$B$2:$AC$46</definedName>
    <definedName name="_xlnm.Print_Area" localSheetId="12">'外皮計算書についてのQ&amp;A'!$A$1:$K$58</definedName>
    <definedName name="_xlnm.Print_Area" localSheetId="0">共通条件・結果!$B$2:$AC$28</definedName>
    <definedName name="_xlnm.Print_Area" localSheetId="13">更新履歴!$A$1:$F$24</definedName>
    <definedName name="温度差係数">'Ｂ（屋根・床等）'!$AD$19:$AD$20</definedName>
    <definedName name="夏方位係数" localSheetId="11">#REF!</definedName>
    <definedName name="夏方位係数" localSheetId="7">'[1]Ｃ（基礎）'!$AM$29:$AN$36</definedName>
    <definedName name="夏方位係数" localSheetId="3">'[1]Ｃ（基礎）'!$AM$29:$AN$36</definedName>
    <definedName name="夏方位係数" localSheetId="5">'[1]Ｃ（基礎）'!$AM$29:$AN$36</definedName>
    <definedName name="夏方位係数" localSheetId="6">'[1]Ｃ（基礎）'!$AM$29:$AN$36</definedName>
    <definedName name="夏方位係数" localSheetId="4">'[1]Ｃ（基礎）'!$AM$29:$AN$36</definedName>
    <definedName name="夏方位係数" localSheetId="1">'[1]Ｃ（基礎）'!$AM$29:$AN$36</definedName>
    <definedName name="夏方位係数" localSheetId="8">'[1]Ｃ（基礎）'!$AM$29:$AN$36</definedName>
    <definedName name="夏方位係数" localSheetId="2">'[1]Ｃ（基礎）'!$AM$29:$AN$36</definedName>
    <definedName name="夏方位係数" localSheetId="10">'Ｃ（基礎）'!$AM$35:$AN$42</definedName>
    <definedName name="夏方位係数" localSheetId="0">'[2]Ｃ（基礎）'!$AM$35:$AN$42</definedName>
    <definedName name="夏方位係数" localSheetId="13">'[3]Ｃ（基礎）'!$AM$29:$AN$36</definedName>
    <definedName name="夏方位係数">#REF!</definedName>
    <definedName name="冬方位係数" localSheetId="11">#REF!</definedName>
    <definedName name="冬方位係数" localSheetId="7">'[1]Ｃ（基礎）'!$AO$29:$AP$36</definedName>
    <definedName name="冬方位係数" localSheetId="3">'[1]Ｃ（基礎）'!$AO$29:$AP$36</definedName>
    <definedName name="冬方位係数" localSheetId="5">'[1]Ｃ（基礎）'!$AO$29:$AP$36</definedName>
    <definedName name="冬方位係数" localSheetId="6">'[1]Ｃ（基礎）'!$AO$29:$AP$36</definedName>
    <definedName name="冬方位係数" localSheetId="4">'[1]Ｃ（基礎）'!$AO$29:$AP$36</definedName>
    <definedName name="冬方位係数" localSheetId="1">'[1]Ｃ（基礎）'!$AO$29:$AP$36</definedName>
    <definedName name="冬方位係数" localSheetId="8">'[1]Ｃ（基礎）'!$AO$29:$AP$36</definedName>
    <definedName name="冬方位係数" localSheetId="2">'[1]Ｃ（基礎）'!$AO$29:$AP$36</definedName>
    <definedName name="冬方位係数" localSheetId="10">'Ｃ（基礎）'!$AO$35:$AP$42</definedName>
    <definedName name="冬方位係数" localSheetId="0">'[2]Ｃ（基礎）'!$AO$35:$AP$42</definedName>
    <definedName name="冬方位係数" localSheetId="13">'[3]Ｃ（基礎）'!$AO$29:$AP$36</definedName>
    <definedName name="冬方位係数">#REF!</definedName>
    <definedName name="方位" localSheetId="11">[4]新!$AE$35:$AE$42</definedName>
    <definedName name="方位" localSheetId="7">'[1]Ｃ（基礎）'!$AE$29:$AE$36</definedName>
    <definedName name="方位" localSheetId="3">'[1]Ｃ（基礎）'!$AE$29:$AE$36</definedName>
    <definedName name="方位" localSheetId="5">'[1]Ｃ（基礎）'!$AE$29:$AE$36</definedName>
    <definedName name="方位" localSheetId="6">'[1]Ｃ（基礎）'!$AE$29:$AE$36</definedName>
    <definedName name="方位" localSheetId="4">'[1]Ｃ（基礎）'!$AE$29:$AE$36</definedName>
    <definedName name="方位" localSheetId="1">'[1]Ｃ（基礎）'!$AE$29:$AE$36</definedName>
    <definedName name="方位" localSheetId="8">'[1]Ｃ（基礎）'!$AE$29:$AE$36</definedName>
    <definedName name="方位" localSheetId="2">'[1]Ｃ（基礎）'!$AE$29:$AE$36</definedName>
    <definedName name="方位" localSheetId="10">'Ｃ（基礎）'!$AE$35:$AE$42</definedName>
    <definedName name="方位" localSheetId="0">'[2]Ｃ（基礎）'!$AE$35:$AE$42</definedName>
    <definedName name="方位" localSheetId="13">'[3]Ｃ（基礎）'!$AE$29:$AE$36</definedName>
    <definedName name="方位">#REF!</definedName>
    <definedName name="方位基礎">#REF!</definedName>
  </definedNames>
  <calcPr calcId="181029"/>
</workbook>
</file>

<file path=xl/calcChain.xml><?xml version="1.0" encoding="utf-8"?>
<calcChain xmlns="http://schemas.openxmlformats.org/spreadsheetml/2006/main">
  <c r="O18" i="131" l="1"/>
  <c r="O17" i="131"/>
  <c r="T17" i="131" s="1"/>
  <c r="Q43" i="112" l="1"/>
  <c r="V8" i="112"/>
  <c r="AE2" i="129"/>
  <c r="AE2" i="121" l="1"/>
  <c r="AE2" i="122"/>
  <c r="AE2" i="123"/>
  <c r="AE2" i="124"/>
  <c r="AE2" i="125"/>
  <c r="AE2" i="126"/>
  <c r="AE2" i="127"/>
  <c r="AE2" i="110"/>
  <c r="AE2" i="130"/>
  <c r="AE2" i="112"/>
  <c r="P10" i="110" l="1"/>
  <c r="P11" i="110"/>
  <c r="P12" i="110"/>
  <c r="P9" i="110"/>
  <c r="P8" i="110"/>
  <c r="AK9" i="125"/>
  <c r="AK10" i="125"/>
  <c r="AK11" i="125"/>
  <c r="AK12" i="125"/>
  <c r="AK13" i="125"/>
  <c r="AK14" i="125"/>
  <c r="AK15" i="125"/>
  <c r="AK16" i="125"/>
  <c r="AK17" i="125"/>
  <c r="AK18" i="125"/>
  <c r="AK19" i="125"/>
  <c r="AK8" i="125"/>
  <c r="AK9" i="124"/>
  <c r="AK10" i="124"/>
  <c r="AK11" i="124"/>
  <c r="AK12" i="124"/>
  <c r="AK13" i="124"/>
  <c r="AK14" i="124"/>
  <c r="AK15" i="124"/>
  <c r="AK16" i="124"/>
  <c r="AK17" i="124"/>
  <c r="AK18" i="124"/>
  <c r="AK19" i="124"/>
  <c r="AK8" i="124"/>
  <c r="AK9" i="123"/>
  <c r="AK10" i="123"/>
  <c r="AK11" i="123"/>
  <c r="AK12" i="123"/>
  <c r="AK13" i="123"/>
  <c r="AK14" i="123"/>
  <c r="AK15" i="123"/>
  <c r="AK16" i="123"/>
  <c r="AK17" i="123"/>
  <c r="AK18" i="123"/>
  <c r="AK19" i="123"/>
  <c r="AK8" i="123"/>
  <c r="R26" i="110" l="1"/>
  <c r="R25" i="110"/>
  <c r="R24" i="110"/>
  <c r="R23" i="110"/>
  <c r="R22" i="110"/>
  <c r="R21" i="110"/>
  <c r="R20" i="110"/>
  <c r="Z28" i="123"/>
  <c r="Z27" i="123"/>
  <c r="Z28" i="127"/>
  <c r="X28" i="127"/>
  <c r="V28" i="127"/>
  <c r="Z27" i="127"/>
  <c r="X27" i="127"/>
  <c r="V27" i="127"/>
  <c r="Z26" i="127"/>
  <c r="X26" i="127"/>
  <c r="V26" i="127"/>
  <c r="Z28" i="126"/>
  <c r="X28" i="126"/>
  <c r="V28" i="126"/>
  <c r="Z27" i="126"/>
  <c r="X27" i="126"/>
  <c r="V27" i="126"/>
  <c r="Z26" i="126"/>
  <c r="X26" i="126"/>
  <c r="V26" i="126"/>
  <c r="Z28" i="125"/>
  <c r="Z29" i="125" s="1"/>
  <c r="X28" i="125"/>
  <c r="V28" i="125"/>
  <c r="Z27" i="125"/>
  <c r="X27" i="125"/>
  <c r="V27" i="125"/>
  <c r="Z26" i="125"/>
  <c r="X26" i="125"/>
  <c r="V26" i="125"/>
  <c r="Z28" i="124"/>
  <c r="X28" i="124"/>
  <c r="V28" i="124"/>
  <c r="Z27" i="124"/>
  <c r="X27" i="124"/>
  <c r="V27" i="124"/>
  <c r="Z26" i="124"/>
  <c r="Z29" i="124" s="1"/>
  <c r="X26" i="124"/>
  <c r="V26" i="124"/>
  <c r="X28" i="123"/>
  <c r="V28" i="123"/>
  <c r="X27" i="123"/>
  <c r="V27" i="123"/>
  <c r="Z28" i="122"/>
  <c r="X28" i="122"/>
  <c r="V28" i="122"/>
  <c r="Z27" i="122"/>
  <c r="X27" i="122"/>
  <c r="V27" i="122"/>
  <c r="Z26" i="122"/>
  <c r="Z29" i="122" s="1"/>
  <c r="X26" i="122"/>
  <c r="V26" i="122"/>
  <c r="Z29" i="121"/>
  <c r="Z28" i="121"/>
  <c r="X28" i="121"/>
  <c r="V28" i="121"/>
  <c r="Z27" i="121"/>
  <c r="X27" i="121"/>
  <c r="V27" i="121"/>
  <c r="Z26" i="121"/>
  <c r="X26" i="121"/>
  <c r="V26" i="121"/>
  <c r="X28" i="112"/>
  <c r="V28" i="112"/>
  <c r="X27" i="112"/>
  <c r="V27" i="112"/>
  <c r="X26" i="112"/>
  <c r="V26" i="112"/>
  <c r="Z29" i="127" l="1"/>
  <c r="Z29" i="126"/>
  <c r="X29" i="122"/>
  <c r="X29" i="124"/>
  <c r="V29" i="124"/>
  <c r="V29" i="122"/>
  <c r="V29" i="125"/>
  <c r="V29" i="126"/>
  <c r="X29" i="121"/>
  <c r="V29" i="121"/>
  <c r="X29" i="125"/>
  <c r="V29" i="127"/>
  <c r="X29" i="127"/>
  <c r="X29" i="126"/>
  <c r="V29" i="112"/>
  <c r="X29" i="112"/>
  <c r="P13" i="110" l="1"/>
  <c r="X4" i="127"/>
  <c r="V4" i="127"/>
  <c r="X4" i="126"/>
  <c r="V4" i="126"/>
  <c r="X4" i="125"/>
  <c r="V4" i="125"/>
  <c r="X4" i="124"/>
  <c r="AP35" i="130" s="1"/>
  <c r="V4" i="124"/>
  <c r="X4" i="123"/>
  <c r="X26" i="123" s="1"/>
  <c r="X29" i="123" s="1"/>
  <c r="V4" i="123"/>
  <c r="V26" i="123" s="1"/>
  <c r="V29" i="123" s="1"/>
  <c r="X4" i="122"/>
  <c r="V4" i="122"/>
  <c r="X4" i="121"/>
  <c r="V4" i="121"/>
  <c r="X4" i="112"/>
  <c r="V4" i="112"/>
  <c r="H45" i="130" l="1"/>
  <c r="AK44" i="130"/>
  <c r="AJ44" i="130"/>
  <c r="AH44" i="130"/>
  <c r="W44" i="130"/>
  <c r="T44" i="130"/>
  <c r="Q44" i="130"/>
  <c r="AK43" i="130"/>
  <c r="AJ43" i="130"/>
  <c r="AH43" i="130"/>
  <c r="W43" i="130"/>
  <c r="T43" i="130"/>
  <c r="Q43" i="130"/>
  <c r="AK42" i="130"/>
  <c r="AJ42" i="130"/>
  <c r="AH42" i="130"/>
  <c r="W42" i="130"/>
  <c r="T42" i="130"/>
  <c r="Q42" i="130"/>
  <c r="AK41" i="130"/>
  <c r="AJ41" i="130"/>
  <c r="AH41" i="130"/>
  <c r="W41" i="130"/>
  <c r="T41" i="130"/>
  <c r="Q41" i="130"/>
  <c r="AK40" i="130"/>
  <c r="AJ40" i="130"/>
  <c r="AH40" i="130"/>
  <c r="W40" i="130"/>
  <c r="T40" i="130"/>
  <c r="Q40" i="130"/>
  <c r="AK39" i="130"/>
  <c r="AJ39" i="130"/>
  <c r="AH39" i="130"/>
  <c r="W39" i="130"/>
  <c r="T39" i="130"/>
  <c r="Q39" i="130"/>
  <c r="AK38" i="130"/>
  <c r="AJ38" i="130"/>
  <c r="AH38" i="130"/>
  <c r="W38" i="130"/>
  <c r="T38" i="130"/>
  <c r="Q38" i="130"/>
  <c r="AK37" i="130"/>
  <c r="AJ37" i="130"/>
  <c r="AH37" i="130"/>
  <c r="W37" i="130"/>
  <c r="T37" i="130"/>
  <c r="Q37" i="130"/>
  <c r="AK36" i="130"/>
  <c r="AJ36" i="130"/>
  <c r="AH36" i="130"/>
  <c r="W36" i="130"/>
  <c r="T36" i="130"/>
  <c r="Q36" i="130"/>
  <c r="AH35" i="130"/>
  <c r="W35" i="130" s="1"/>
  <c r="H30" i="130"/>
  <c r="AH29" i="130"/>
  <c r="Q29" i="130"/>
  <c r="D29" i="130"/>
  <c r="B29" i="130"/>
  <c r="AH28" i="130"/>
  <c r="Q28" i="130"/>
  <c r="D28" i="130"/>
  <c r="B28" i="130"/>
  <c r="AH27" i="130"/>
  <c r="Q27" i="130"/>
  <c r="D27" i="130"/>
  <c r="B27" i="130"/>
  <c r="AH26" i="130"/>
  <c r="Q26" i="130"/>
  <c r="D26" i="130"/>
  <c r="B26" i="130"/>
  <c r="AH25" i="130"/>
  <c r="Q25" i="130"/>
  <c r="D25" i="130"/>
  <c r="B25" i="130"/>
  <c r="AH24" i="130"/>
  <c r="Q24" i="130"/>
  <c r="D24" i="130"/>
  <c r="B24" i="130"/>
  <c r="AH23" i="130"/>
  <c r="Q23" i="130" s="1"/>
  <c r="D23" i="130"/>
  <c r="B23" i="130"/>
  <c r="AH22" i="130"/>
  <c r="Q22" i="130"/>
  <c r="D22" i="130"/>
  <c r="B22" i="130"/>
  <c r="H15" i="130"/>
  <c r="W45" i="130" l="1"/>
  <c r="Q30" i="130"/>
  <c r="AJ13" i="129"/>
  <c r="AH13" i="129" s="1"/>
  <c r="AI13" i="129"/>
  <c r="AG13" i="129"/>
  <c r="AE13" i="129"/>
  <c r="AA13" i="129"/>
  <c r="Y13" i="129"/>
  <c r="AJ12" i="129"/>
  <c r="AH12" i="129" s="1"/>
  <c r="AI12" i="129"/>
  <c r="AG12" i="129"/>
  <c r="AE12" i="129"/>
  <c r="AF12" i="129" s="1"/>
  <c r="AA12" i="129"/>
  <c r="Y12" i="129"/>
  <c r="AJ11" i="129"/>
  <c r="AI11" i="129"/>
  <c r="AH11" i="129"/>
  <c r="AG11" i="129"/>
  <c r="AE11" i="129"/>
  <c r="AF11" i="129" s="1"/>
  <c r="AA11" i="129"/>
  <c r="Y11" i="129"/>
  <c r="AJ10" i="129"/>
  <c r="AI10" i="129"/>
  <c r="AH10" i="129"/>
  <c r="AG10" i="129"/>
  <c r="AE10" i="129"/>
  <c r="AF10" i="129" s="1"/>
  <c r="AA10" i="129"/>
  <c r="Y10" i="129"/>
  <c r="AJ9" i="129"/>
  <c r="AH9" i="129" s="1"/>
  <c r="AI9" i="129"/>
  <c r="AG9" i="129"/>
  <c r="AE9" i="129"/>
  <c r="AF9" i="129" s="1"/>
  <c r="AA9" i="129"/>
  <c r="Y9" i="129"/>
  <c r="AJ8" i="129"/>
  <c r="AH8" i="129" s="1"/>
  <c r="AI8" i="129"/>
  <c r="AG8" i="129"/>
  <c r="AE8" i="129"/>
  <c r="AF8" i="129" s="1"/>
  <c r="AA8" i="129"/>
  <c r="Y8" i="129"/>
  <c r="AJ7" i="129"/>
  <c r="AI7" i="129"/>
  <c r="AH7" i="129"/>
  <c r="AG7" i="129"/>
  <c r="AE7" i="129"/>
  <c r="AA7" i="129"/>
  <c r="Y7" i="129"/>
  <c r="AJ6" i="129"/>
  <c r="AI6" i="129"/>
  <c r="AH6" i="129"/>
  <c r="AG6" i="129"/>
  <c r="AE6" i="129"/>
  <c r="AA6" i="129"/>
  <c r="Y6" i="129"/>
  <c r="AF6" i="129" l="1"/>
  <c r="AF13" i="129"/>
  <c r="AF7" i="129"/>
  <c r="AL8" i="112"/>
  <c r="AL9" i="112"/>
  <c r="AL10" i="112"/>
  <c r="AL11" i="112"/>
  <c r="AL12" i="112"/>
  <c r="AL13" i="112"/>
  <c r="AL14" i="112"/>
  <c r="AL15" i="112"/>
  <c r="AL16" i="112"/>
  <c r="AL17" i="112"/>
  <c r="AL18" i="112"/>
  <c r="AL19" i="112"/>
  <c r="AL9" i="125"/>
  <c r="AL10" i="125"/>
  <c r="AL11" i="125"/>
  <c r="AL12" i="125"/>
  <c r="AL13" i="125"/>
  <c r="AL14" i="125"/>
  <c r="AL15" i="125"/>
  <c r="AL16" i="125"/>
  <c r="AL17" i="125"/>
  <c r="AL18" i="125"/>
  <c r="AL19" i="125"/>
  <c r="AL8" i="125"/>
  <c r="AL9" i="124"/>
  <c r="AL10" i="124"/>
  <c r="AL11" i="124"/>
  <c r="AL12" i="124"/>
  <c r="AL13" i="124"/>
  <c r="AL14" i="124"/>
  <c r="AL15" i="124"/>
  <c r="AL16" i="124"/>
  <c r="AL17" i="124"/>
  <c r="AL18" i="124"/>
  <c r="AL19" i="124"/>
  <c r="AL8" i="124"/>
  <c r="AL9" i="123"/>
  <c r="AL10" i="123"/>
  <c r="AL11" i="123"/>
  <c r="AL12" i="123"/>
  <c r="AL13" i="123"/>
  <c r="AL14" i="123"/>
  <c r="AL15" i="123"/>
  <c r="AL16" i="123"/>
  <c r="AL17" i="123"/>
  <c r="AL18" i="123"/>
  <c r="AL19" i="123"/>
  <c r="AL8" i="123"/>
  <c r="N8" i="110" l="1"/>
  <c r="Z18" i="112"/>
  <c r="U43" i="112"/>
  <c r="AP41" i="130" l="1"/>
  <c r="AN41" i="130"/>
  <c r="AP38" i="130"/>
  <c r="AN38" i="130"/>
  <c r="AP42" i="130"/>
  <c r="AN42" i="130"/>
  <c r="AN35" i="130"/>
  <c r="AP39" i="130"/>
  <c r="AN39" i="130"/>
  <c r="AP36" i="130"/>
  <c r="AK35" i="130" s="1"/>
  <c r="T35" i="130" s="1"/>
  <c r="T45" i="130" s="1"/>
  <c r="AN36" i="130"/>
  <c r="AJ35" i="130" s="1"/>
  <c r="Q35" i="130" s="1"/>
  <c r="Q45" i="130" s="1"/>
  <c r="AP40" i="130"/>
  <c r="AN40" i="130"/>
  <c r="AP37" i="130"/>
  <c r="AN37" i="130"/>
  <c r="U43" i="127" l="1"/>
  <c r="Q43" i="127"/>
  <c r="X39" i="127"/>
  <c r="P39" i="127"/>
  <c r="T39" i="127" s="1"/>
  <c r="X38" i="127"/>
  <c r="P38" i="127"/>
  <c r="V38" i="127" s="1"/>
  <c r="X37" i="127"/>
  <c r="P37" i="127"/>
  <c r="V37" i="127" s="1"/>
  <c r="X36" i="127"/>
  <c r="P36" i="127"/>
  <c r="V36" i="127" s="1"/>
  <c r="P35" i="127"/>
  <c r="X35" i="127" s="1"/>
  <c r="AO28" i="127"/>
  <c r="AN28" i="127" s="1"/>
  <c r="AO27" i="127"/>
  <c r="AN27" i="127" s="1"/>
  <c r="AO26" i="127"/>
  <c r="AN26" i="127" s="1"/>
  <c r="AO19" i="127"/>
  <c r="AN19" i="127" s="1"/>
  <c r="AL19" i="127"/>
  <c r="AI19" i="127" s="1"/>
  <c r="AK19" i="127"/>
  <c r="AH19" i="127"/>
  <c r="Z19" i="127"/>
  <c r="X19" i="127"/>
  <c r="V19" i="127"/>
  <c r="AO18" i="127"/>
  <c r="AN18" i="127" s="1"/>
  <c r="AL18" i="127"/>
  <c r="AI18" i="127" s="1"/>
  <c r="AK18" i="127"/>
  <c r="AH18" i="127" s="1"/>
  <c r="Z18" i="127"/>
  <c r="X18" i="127"/>
  <c r="V18" i="127"/>
  <c r="AO17" i="127"/>
  <c r="AN17" i="127" s="1"/>
  <c r="AL17" i="127"/>
  <c r="AI17" i="127" s="1"/>
  <c r="AK17" i="127"/>
  <c r="AH17" i="127" s="1"/>
  <c r="AD17" i="127" s="1"/>
  <c r="Z17" i="127"/>
  <c r="X17" i="127"/>
  <c r="V17" i="127"/>
  <c r="AO16" i="127"/>
  <c r="AN16" i="127" s="1"/>
  <c r="AL16" i="127"/>
  <c r="AI16" i="127" s="1"/>
  <c r="AK16" i="127"/>
  <c r="AH16" i="127" s="1"/>
  <c r="Z16" i="127"/>
  <c r="X16" i="127"/>
  <c r="V16" i="127"/>
  <c r="AO15" i="127"/>
  <c r="AN15" i="127" s="1"/>
  <c r="AL15" i="127"/>
  <c r="AK15" i="127"/>
  <c r="AH15" i="127" s="1"/>
  <c r="AI15" i="127"/>
  <c r="Z15" i="127"/>
  <c r="X15" i="127"/>
  <c r="V15" i="127"/>
  <c r="AO14" i="127"/>
  <c r="AN14" i="127" s="1"/>
  <c r="AL14" i="127"/>
  <c r="AI14" i="127" s="1"/>
  <c r="AK14" i="127"/>
  <c r="AH14" i="127" s="1"/>
  <c r="Z14" i="127"/>
  <c r="X14" i="127"/>
  <c r="V14" i="127"/>
  <c r="AO13" i="127"/>
  <c r="AN13" i="127" s="1"/>
  <c r="AL13" i="127"/>
  <c r="AI13" i="127" s="1"/>
  <c r="AK13" i="127"/>
  <c r="AH13" i="127" s="1"/>
  <c r="Z13" i="127"/>
  <c r="AO12" i="127"/>
  <c r="AN12" i="127" s="1"/>
  <c r="AL12" i="127"/>
  <c r="AI12" i="127" s="1"/>
  <c r="AK12" i="127"/>
  <c r="AH12" i="127" s="1"/>
  <c r="Z12" i="127"/>
  <c r="AO11" i="127"/>
  <c r="AN11" i="127" s="1"/>
  <c r="Z11" i="127" s="1"/>
  <c r="AL11" i="127"/>
  <c r="AI11" i="127" s="1"/>
  <c r="AE11" i="127" s="1"/>
  <c r="X11" i="127" s="1"/>
  <c r="AK11" i="127"/>
  <c r="AH11" i="127" s="1"/>
  <c r="AO10" i="127"/>
  <c r="AN10" i="127" s="1"/>
  <c r="Z10" i="127" s="1"/>
  <c r="AL10" i="127"/>
  <c r="AI10" i="127" s="1"/>
  <c r="AK10" i="127"/>
  <c r="AH10" i="127" s="1"/>
  <c r="AO9" i="127"/>
  <c r="AN9" i="127" s="1"/>
  <c r="Z9" i="127" s="1"/>
  <c r="AL9" i="127"/>
  <c r="AI9" i="127" s="1"/>
  <c r="AK9" i="127"/>
  <c r="AH9" i="127" s="1"/>
  <c r="AO8" i="127"/>
  <c r="AN8" i="127" s="1"/>
  <c r="Z8" i="127" s="1"/>
  <c r="AL8" i="127"/>
  <c r="AI8" i="127" s="1"/>
  <c r="AE8" i="127" s="1"/>
  <c r="X8" i="127" s="1"/>
  <c r="AK8" i="127"/>
  <c r="AH8" i="127" s="1"/>
  <c r="U43" i="126"/>
  <c r="Q43" i="126"/>
  <c r="X39" i="126"/>
  <c r="P39" i="126"/>
  <c r="V39" i="126" s="1"/>
  <c r="X38" i="126"/>
  <c r="P38" i="126"/>
  <c r="V38" i="126" s="1"/>
  <c r="X37" i="126"/>
  <c r="P37" i="126"/>
  <c r="V37" i="126" s="1"/>
  <c r="X36" i="126"/>
  <c r="P36" i="126"/>
  <c r="V36" i="126" s="1"/>
  <c r="X35" i="126"/>
  <c r="P35" i="126"/>
  <c r="AO28" i="126"/>
  <c r="AN28" i="126" s="1"/>
  <c r="AO27" i="126"/>
  <c r="AN27" i="126" s="1"/>
  <c r="AO26" i="126"/>
  <c r="AN26" i="126" s="1"/>
  <c r="AO19" i="126"/>
  <c r="AN19" i="126" s="1"/>
  <c r="AL19" i="126"/>
  <c r="AI19" i="126" s="1"/>
  <c r="AK19" i="126"/>
  <c r="AH19" i="126"/>
  <c r="Z19" i="126"/>
  <c r="X19" i="126"/>
  <c r="V19" i="126"/>
  <c r="AO18" i="126"/>
  <c r="AN18" i="126" s="1"/>
  <c r="AL18" i="126"/>
  <c r="AI18" i="126" s="1"/>
  <c r="AK18" i="126"/>
  <c r="AH18" i="126" s="1"/>
  <c r="Z18" i="126"/>
  <c r="X18" i="126"/>
  <c r="V18" i="126"/>
  <c r="AO17" i="126"/>
  <c r="AN17" i="126" s="1"/>
  <c r="AL17" i="126"/>
  <c r="AI17" i="126" s="1"/>
  <c r="AK17" i="126"/>
  <c r="AH17" i="126" s="1"/>
  <c r="AD17" i="126" s="1"/>
  <c r="Z17" i="126"/>
  <c r="X17" i="126"/>
  <c r="V17" i="126"/>
  <c r="AO16" i="126"/>
  <c r="AN16" i="126" s="1"/>
  <c r="AL16" i="126"/>
  <c r="AI16" i="126" s="1"/>
  <c r="AK16" i="126"/>
  <c r="AH16" i="126" s="1"/>
  <c r="Z16" i="126"/>
  <c r="X16" i="126"/>
  <c r="V16" i="126"/>
  <c r="AO15" i="126"/>
  <c r="AN15" i="126" s="1"/>
  <c r="AL15" i="126"/>
  <c r="AI15" i="126" s="1"/>
  <c r="AK15" i="126"/>
  <c r="AH15" i="126" s="1"/>
  <c r="Z15" i="126"/>
  <c r="X15" i="126"/>
  <c r="V15" i="126"/>
  <c r="AO14" i="126"/>
  <c r="AN14" i="126" s="1"/>
  <c r="AL14" i="126"/>
  <c r="AI14" i="126" s="1"/>
  <c r="AK14" i="126"/>
  <c r="AH14" i="126" s="1"/>
  <c r="Z14" i="126"/>
  <c r="X14" i="126"/>
  <c r="V14" i="126"/>
  <c r="AO13" i="126"/>
  <c r="AN13" i="126" s="1"/>
  <c r="AL13" i="126"/>
  <c r="AI13" i="126" s="1"/>
  <c r="AK13" i="126"/>
  <c r="AH13" i="126" s="1"/>
  <c r="Z13" i="126"/>
  <c r="AO12" i="126"/>
  <c r="AN12" i="126" s="1"/>
  <c r="AL12" i="126"/>
  <c r="AI12" i="126" s="1"/>
  <c r="AK12" i="126"/>
  <c r="AH12" i="126"/>
  <c r="Z12" i="126"/>
  <c r="AO11" i="126"/>
  <c r="AN11" i="126" s="1"/>
  <c r="AL11" i="126"/>
  <c r="AI11" i="126" s="1"/>
  <c r="AE11" i="126" s="1"/>
  <c r="X11" i="126" s="1"/>
  <c r="AK11" i="126"/>
  <c r="AH11" i="126" s="1"/>
  <c r="Z11" i="126"/>
  <c r="AO10" i="126"/>
  <c r="AN10" i="126" s="1"/>
  <c r="AL10" i="126"/>
  <c r="AI10" i="126" s="1"/>
  <c r="AK10" i="126"/>
  <c r="AH10" i="126"/>
  <c r="Z10" i="126"/>
  <c r="AO9" i="126"/>
  <c r="AN9" i="126" s="1"/>
  <c r="AL9" i="126"/>
  <c r="AI9" i="126" s="1"/>
  <c r="AK9" i="126"/>
  <c r="AH9" i="126" s="1"/>
  <c r="Z9" i="126"/>
  <c r="AO8" i="126"/>
  <c r="AL8" i="126"/>
  <c r="AI8" i="126" s="1"/>
  <c r="AK8" i="126"/>
  <c r="AH8" i="126" s="1"/>
  <c r="AD8" i="126" s="1"/>
  <c r="V8" i="126" s="1"/>
  <c r="U43" i="125"/>
  <c r="Q43" i="125"/>
  <c r="X39" i="125"/>
  <c r="P39" i="125"/>
  <c r="V39" i="125" s="1"/>
  <c r="X38" i="125"/>
  <c r="P38" i="125"/>
  <c r="X37" i="125"/>
  <c r="P37" i="125"/>
  <c r="T37" i="125" s="1"/>
  <c r="X36" i="125"/>
  <c r="P36" i="125"/>
  <c r="V36" i="125" s="1"/>
  <c r="P35" i="125"/>
  <c r="T35" i="125" s="1"/>
  <c r="AO28" i="125"/>
  <c r="AN28" i="125" s="1"/>
  <c r="AO27" i="125"/>
  <c r="AN27" i="125" s="1"/>
  <c r="AO26" i="125"/>
  <c r="AN26" i="125" s="1"/>
  <c r="AO19" i="125"/>
  <c r="AN19" i="125" s="1"/>
  <c r="AI19" i="125"/>
  <c r="AH19" i="125"/>
  <c r="Z19" i="125"/>
  <c r="X19" i="125"/>
  <c r="V19" i="125"/>
  <c r="AO18" i="125"/>
  <c r="AN18" i="125" s="1"/>
  <c r="AI18" i="125"/>
  <c r="AH18" i="125"/>
  <c r="Z18" i="125"/>
  <c r="X18" i="125"/>
  <c r="V18" i="125"/>
  <c r="AO17" i="125"/>
  <c r="AN17" i="125" s="1"/>
  <c r="AI17" i="125"/>
  <c r="AH17" i="125"/>
  <c r="AD17" i="125" s="1"/>
  <c r="Z17" i="125"/>
  <c r="X17" i="125"/>
  <c r="V17" i="125"/>
  <c r="AO16" i="125"/>
  <c r="AN16" i="125" s="1"/>
  <c r="AH16" i="125"/>
  <c r="AI16" i="125"/>
  <c r="Z16" i="125"/>
  <c r="X16" i="125"/>
  <c r="V16" i="125"/>
  <c r="AO15" i="125"/>
  <c r="AN15" i="125" s="1"/>
  <c r="AH15" i="125"/>
  <c r="AI15" i="125"/>
  <c r="Z15" i="125"/>
  <c r="X15" i="125"/>
  <c r="V15" i="125"/>
  <c r="AO14" i="125"/>
  <c r="AN14" i="125" s="1"/>
  <c r="AI14" i="125"/>
  <c r="AH14" i="125"/>
  <c r="Z14" i="125"/>
  <c r="X14" i="125"/>
  <c r="V14" i="125"/>
  <c r="AO13" i="125"/>
  <c r="AN13" i="125" s="1"/>
  <c r="AI13" i="125"/>
  <c r="AH13" i="125"/>
  <c r="Z13" i="125"/>
  <c r="AO12" i="125"/>
  <c r="AN12" i="125" s="1"/>
  <c r="AI12" i="125"/>
  <c r="AH12" i="125"/>
  <c r="Z12" i="125"/>
  <c r="AO11" i="125"/>
  <c r="AN11" i="125" s="1"/>
  <c r="AH11" i="125"/>
  <c r="AI11" i="125"/>
  <c r="Z11" i="125"/>
  <c r="AO10" i="125"/>
  <c r="AN10" i="125" s="1"/>
  <c r="Z10" i="125" s="1"/>
  <c r="AI10" i="125"/>
  <c r="AH10" i="125"/>
  <c r="AO9" i="125"/>
  <c r="AN9" i="125" s="1"/>
  <c r="Z9" i="125" s="1"/>
  <c r="AI9" i="125"/>
  <c r="AH9" i="125"/>
  <c r="AO8" i="125"/>
  <c r="AN8" i="125" s="1"/>
  <c r="Z8" i="125" s="1"/>
  <c r="AI8" i="125"/>
  <c r="AE8" i="125" s="1"/>
  <c r="X8" i="125" s="1"/>
  <c r="AH8" i="125"/>
  <c r="AE14" i="125"/>
  <c r="U43" i="124"/>
  <c r="Q43" i="124"/>
  <c r="X39" i="124"/>
  <c r="P39" i="124"/>
  <c r="T39" i="124" s="1"/>
  <c r="X38" i="124"/>
  <c r="P38" i="124"/>
  <c r="T38" i="124" s="1"/>
  <c r="X37" i="124"/>
  <c r="P37" i="124"/>
  <c r="T37" i="124" s="1"/>
  <c r="X36" i="124"/>
  <c r="P36" i="124"/>
  <c r="V36" i="124" s="1"/>
  <c r="P35" i="124"/>
  <c r="T35" i="124" s="1"/>
  <c r="AO28" i="124"/>
  <c r="AN28" i="124" s="1"/>
  <c r="AO27" i="124"/>
  <c r="AN27" i="124" s="1"/>
  <c r="AO26" i="124"/>
  <c r="AN26" i="124" s="1"/>
  <c r="AO19" i="124"/>
  <c r="AN19" i="124" s="1"/>
  <c r="AI19" i="124"/>
  <c r="AH19" i="124"/>
  <c r="Z19" i="124"/>
  <c r="X19" i="124"/>
  <c r="V19" i="124"/>
  <c r="AO18" i="124"/>
  <c r="AN18" i="124" s="1"/>
  <c r="AI18" i="124"/>
  <c r="AH18" i="124"/>
  <c r="Z18" i="124"/>
  <c r="X18" i="124"/>
  <c r="V18" i="124"/>
  <c r="AO17" i="124"/>
  <c r="AN17" i="124" s="1"/>
  <c r="AI17" i="124"/>
  <c r="AH17" i="124"/>
  <c r="AD17" i="124" s="1"/>
  <c r="Z17" i="124"/>
  <c r="X17" i="124"/>
  <c r="V17" i="124"/>
  <c r="AO16" i="124"/>
  <c r="AN16" i="124" s="1"/>
  <c r="AH16" i="124"/>
  <c r="AI16" i="124"/>
  <c r="Z16" i="124"/>
  <c r="X16" i="124"/>
  <c r="V16" i="124"/>
  <c r="AO15" i="124"/>
  <c r="AN15" i="124" s="1"/>
  <c r="AH15" i="124"/>
  <c r="AI15" i="124"/>
  <c r="Z15" i="124"/>
  <c r="X15" i="124"/>
  <c r="V15" i="124"/>
  <c r="AO14" i="124"/>
  <c r="AN14" i="124" s="1"/>
  <c r="AI14" i="124"/>
  <c r="AH14" i="124"/>
  <c r="Z14" i="124"/>
  <c r="X14" i="124"/>
  <c r="V14" i="124"/>
  <c r="AO13" i="124"/>
  <c r="AI13" i="124"/>
  <c r="AE13" i="124" s="1"/>
  <c r="X13" i="124" s="1"/>
  <c r="AH13" i="124"/>
  <c r="AO12" i="124"/>
  <c r="AI12" i="124"/>
  <c r="AH12" i="124"/>
  <c r="AO11" i="124"/>
  <c r="AI11" i="124"/>
  <c r="AE11" i="124" s="1"/>
  <c r="X11" i="124" s="1"/>
  <c r="AH11" i="124"/>
  <c r="AO10" i="124"/>
  <c r="AI10" i="124"/>
  <c r="AH10" i="124"/>
  <c r="AO9" i="124"/>
  <c r="AI9" i="124"/>
  <c r="AH9" i="124"/>
  <c r="AO8" i="124"/>
  <c r="AH8" i="124"/>
  <c r="AI8" i="124"/>
  <c r="U43" i="123"/>
  <c r="Q43" i="123"/>
  <c r="X39" i="123"/>
  <c r="P39" i="123"/>
  <c r="V39" i="123" s="1"/>
  <c r="X38" i="123"/>
  <c r="P38" i="123"/>
  <c r="V38" i="123" s="1"/>
  <c r="X37" i="123"/>
  <c r="P37" i="123"/>
  <c r="V37" i="123" s="1"/>
  <c r="X36" i="123"/>
  <c r="P36" i="123"/>
  <c r="V36" i="123" s="1"/>
  <c r="P35" i="123"/>
  <c r="X35" i="123" s="1"/>
  <c r="AO28" i="123"/>
  <c r="AN28" i="123" s="1"/>
  <c r="AO27" i="123"/>
  <c r="AN27" i="123" s="1"/>
  <c r="AO26" i="123"/>
  <c r="AN26" i="123" s="1"/>
  <c r="Z26" i="123" s="1"/>
  <c r="Z29" i="123" s="1"/>
  <c r="AO19" i="123"/>
  <c r="AN19" i="123" s="1"/>
  <c r="AI19" i="123"/>
  <c r="AH19" i="123"/>
  <c r="Z19" i="123"/>
  <c r="X19" i="123"/>
  <c r="V19" i="123"/>
  <c r="AO18" i="123"/>
  <c r="AN18" i="123" s="1"/>
  <c r="AI18" i="123"/>
  <c r="AE18" i="123" s="1"/>
  <c r="AH18" i="123"/>
  <c r="Z18" i="123"/>
  <c r="X18" i="123"/>
  <c r="V18" i="123"/>
  <c r="AO17" i="123"/>
  <c r="AN17" i="123" s="1"/>
  <c r="AI17" i="123"/>
  <c r="AH17" i="123"/>
  <c r="AD17" i="123" s="1"/>
  <c r="Z17" i="123"/>
  <c r="X17" i="123"/>
  <c r="V17" i="123"/>
  <c r="AO16" i="123"/>
  <c r="AN16" i="123" s="1"/>
  <c r="AH16" i="123"/>
  <c r="AI16" i="123"/>
  <c r="Z16" i="123"/>
  <c r="X16" i="123"/>
  <c r="V16" i="123"/>
  <c r="AO15" i="123"/>
  <c r="AN15" i="123" s="1"/>
  <c r="AH15" i="123"/>
  <c r="AI15" i="123"/>
  <c r="Z15" i="123"/>
  <c r="X15" i="123"/>
  <c r="V15" i="123"/>
  <c r="AO14" i="123"/>
  <c r="AN14" i="123" s="1"/>
  <c r="AI14" i="123"/>
  <c r="AE14" i="123" s="1"/>
  <c r="AH14" i="123"/>
  <c r="Z14" i="123"/>
  <c r="X14" i="123"/>
  <c r="V14" i="123"/>
  <c r="AO13" i="123"/>
  <c r="AN13" i="123" s="1"/>
  <c r="AI13" i="123"/>
  <c r="AH13" i="123"/>
  <c r="Z13" i="123"/>
  <c r="AO12" i="123"/>
  <c r="AN12" i="123" s="1"/>
  <c r="Z12" i="123" s="1"/>
  <c r="AI12" i="123"/>
  <c r="AH12" i="123"/>
  <c r="AO11" i="123"/>
  <c r="AN11" i="123" s="1"/>
  <c r="Z11" i="123" s="1"/>
  <c r="AI11" i="123"/>
  <c r="AE11" i="123" s="1"/>
  <c r="X11" i="123" s="1"/>
  <c r="AH11" i="123"/>
  <c r="AO10" i="123"/>
  <c r="AN10" i="123" s="1"/>
  <c r="AI10" i="123"/>
  <c r="AH10" i="123"/>
  <c r="Z10" i="123"/>
  <c r="AO9" i="123"/>
  <c r="AN9" i="123" s="1"/>
  <c r="Z9" i="123" s="1"/>
  <c r="AI9" i="123"/>
  <c r="AH9" i="123"/>
  <c r="AO8" i="123"/>
  <c r="AN8" i="123" s="1"/>
  <c r="Z8" i="123" s="1"/>
  <c r="AH8" i="123"/>
  <c r="AI8" i="123"/>
  <c r="U43" i="122"/>
  <c r="Q43" i="122"/>
  <c r="X39" i="122"/>
  <c r="P39" i="122"/>
  <c r="V39" i="122" s="1"/>
  <c r="X38" i="122"/>
  <c r="P38" i="122"/>
  <c r="V38" i="122" s="1"/>
  <c r="X37" i="122"/>
  <c r="P37" i="122"/>
  <c r="T37" i="122" s="1"/>
  <c r="X36" i="122"/>
  <c r="P36" i="122"/>
  <c r="V36" i="122" s="1"/>
  <c r="P35" i="122"/>
  <c r="AO28" i="122"/>
  <c r="AN28" i="122" s="1"/>
  <c r="AO27" i="122"/>
  <c r="AN27" i="122" s="1"/>
  <c r="AO26" i="122"/>
  <c r="AN26" i="122" s="1"/>
  <c r="AO19" i="122"/>
  <c r="AN19" i="122" s="1"/>
  <c r="AL19" i="122"/>
  <c r="AI19" i="122" s="1"/>
  <c r="AK19" i="122"/>
  <c r="AH19" i="122"/>
  <c r="Z19" i="122"/>
  <c r="X19" i="122"/>
  <c r="V19" i="122"/>
  <c r="AO18" i="122"/>
  <c r="AN18" i="122" s="1"/>
  <c r="AL18" i="122"/>
  <c r="AI18" i="122" s="1"/>
  <c r="AK18" i="122"/>
  <c r="AH18" i="122" s="1"/>
  <c r="Z18" i="122"/>
  <c r="X18" i="122"/>
  <c r="V18" i="122"/>
  <c r="AO17" i="122"/>
  <c r="AN17" i="122" s="1"/>
  <c r="AL17" i="122"/>
  <c r="AK17" i="122"/>
  <c r="AH17" i="122" s="1"/>
  <c r="AI17" i="122"/>
  <c r="AE17" i="122" s="1"/>
  <c r="Z17" i="122"/>
  <c r="X17" i="122"/>
  <c r="V17" i="122"/>
  <c r="AO16" i="122"/>
  <c r="AN16" i="122" s="1"/>
  <c r="AL16" i="122"/>
  <c r="AI16" i="122" s="1"/>
  <c r="AK16" i="122"/>
  <c r="AH16" i="122" s="1"/>
  <c r="Z16" i="122"/>
  <c r="X16" i="122"/>
  <c r="V16" i="122"/>
  <c r="AO15" i="122"/>
  <c r="AN15" i="122" s="1"/>
  <c r="AL15" i="122"/>
  <c r="AI15" i="122" s="1"/>
  <c r="AK15" i="122"/>
  <c r="AH15" i="122" s="1"/>
  <c r="Z15" i="122"/>
  <c r="X15" i="122"/>
  <c r="V15" i="122"/>
  <c r="AO14" i="122"/>
  <c r="AN14" i="122" s="1"/>
  <c r="AL14" i="122"/>
  <c r="AI14" i="122" s="1"/>
  <c r="AK14" i="122"/>
  <c r="AH14" i="122" s="1"/>
  <c r="Z14" i="122"/>
  <c r="X14" i="122"/>
  <c r="V14" i="122"/>
  <c r="AO13" i="122"/>
  <c r="AN13" i="122" s="1"/>
  <c r="AL13" i="122"/>
  <c r="AI13" i="122" s="1"/>
  <c r="AK13" i="122"/>
  <c r="AH13" i="122" s="1"/>
  <c r="AD13" i="122" s="1"/>
  <c r="V13" i="122" s="1"/>
  <c r="Z13" i="122"/>
  <c r="AO12" i="122"/>
  <c r="AN12" i="122" s="1"/>
  <c r="AL12" i="122"/>
  <c r="AI12" i="122" s="1"/>
  <c r="AK12" i="122"/>
  <c r="AH12" i="122" s="1"/>
  <c r="Z12" i="122"/>
  <c r="AO11" i="122"/>
  <c r="AN11" i="122" s="1"/>
  <c r="AL11" i="122"/>
  <c r="AI11" i="122" s="1"/>
  <c r="AK11" i="122"/>
  <c r="AH11" i="122" s="1"/>
  <c r="Z11" i="122"/>
  <c r="AO10" i="122"/>
  <c r="AN10" i="122" s="1"/>
  <c r="AL10" i="122"/>
  <c r="AI10" i="122" s="1"/>
  <c r="AK10" i="122"/>
  <c r="AH10" i="122" s="1"/>
  <c r="AD10" i="122" s="1"/>
  <c r="V10" i="122" s="1"/>
  <c r="Z10" i="122"/>
  <c r="AO9" i="122"/>
  <c r="AN9" i="122" s="1"/>
  <c r="AL9" i="122"/>
  <c r="AI9" i="122" s="1"/>
  <c r="AK9" i="122"/>
  <c r="AH9" i="122" s="1"/>
  <c r="Z9" i="122"/>
  <c r="AO8" i="122"/>
  <c r="AN8" i="122" s="1"/>
  <c r="Z8" i="122"/>
  <c r="AL8" i="122"/>
  <c r="AI8" i="122" s="1"/>
  <c r="AK8" i="122"/>
  <c r="AH8" i="122" s="1"/>
  <c r="U43" i="121"/>
  <c r="Q43" i="121"/>
  <c r="X39" i="121"/>
  <c r="P39" i="121"/>
  <c r="T39" i="121" s="1"/>
  <c r="X38" i="121"/>
  <c r="P38" i="121"/>
  <c r="T38" i="121" s="1"/>
  <c r="X37" i="121"/>
  <c r="P37" i="121"/>
  <c r="T37" i="121" s="1"/>
  <c r="X36" i="121"/>
  <c r="P36" i="121"/>
  <c r="V36" i="121" s="1"/>
  <c r="P35" i="121"/>
  <c r="T35" i="121" s="1"/>
  <c r="AO28" i="121"/>
  <c r="AN28" i="121" s="1"/>
  <c r="AO27" i="121"/>
  <c r="AN27" i="121" s="1"/>
  <c r="AO26" i="121"/>
  <c r="AN26" i="121" s="1"/>
  <c r="AO19" i="121"/>
  <c r="AN19" i="121" s="1"/>
  <c r="AL19" i="121"/>
  <c r="AK19" i="121"/>
  <c r="AH19" i="121" s="1"/>
  <c r="AI19" i="121"/>
  <c r="AE19" i="121" s="1"/>
  <c r="Z19" i="121"/>
  <c r="X19" i="121"/>
  <c r="V19" i="121"/>
  <c r="AO18" i="121"/>
  <c r="AN18" i="121" s="1"/>
  <c r="AL18" i="121"/>
  <c r="AI18" i="121" s="1"/>
  <c r="AK18" i="121"/>
  <c r="AH18" i="121" s="1"/>
  <c r="Z18" i="121"/>
  <c r="X18" i="121"/>
  <c r="V18" i="121"/>
  <c r="AO17" i="121"/>
  <c r="AN17" i="121" s="1"/>
  <c r="AL17" i="121"/>
  <c r="AI17" i="121" s="1"/>
  <c r="AK17" i="121"/>
  <c r="AH17" i="121" s="1"/>
  <c r="Z17" i="121"/>
  <c r="X17" i="121"/>
  <c r="V17" i="121"/>
  <c r="AO16" i="121"/>
  <c r="AN16" i="121" s="1"/>
  <c r="AL16" i="121"/>
  <c r="AI16" i="121" s="1"/>
  <c r="AK16" i="121"/>
  <c r="AH16" i="121" s="1"/>
  <c r="Z16" i="121"/>
  <c r="X16" i="121"/>
  <c r="V16" i="121"/>
  <c r="AO15" i="121"/>
  <c r="AN15" i="121" s="1"/>
  <c r="AL15" i="121"/>
  <c r="AI15" i="121" s="1"/>
  <c r="AK15" i="121"/>
  <c r="AH15" i="121" s="1"/>
  <c r="Z15" i="121"/>
  <c r="X15" i="121"/>
  <c r="V15" i="121"/>
  <c r="AO14" i="121"/>
  <c r="AN14" i="121" s="1"/>
  <c r="AL14" i="121"/>
  <c r="AI14" i="121" s="1"/>
  <c r="AE14" i="121" s="1"/>
  <c r="AK14" i="121"/>
  <c r="AH14" i="121" s="1"/>
  <c r="Z14" i="121"/>
  <c r="X14" i="121"/>
  <c r="V14" i="121"/>
  <c r="AO13" i="121"/>
  <c r="AN13" i="121" s="1"/>
  <c r="AL13" i="121"/>
  <c r="AI13" i="121" s="1"/>
  <c r="AK13" i="121"/>
  <c r="AH13" i="121"/>
  <c r="Z13" i="121"/>
  <c r="AO12" i="121"/>
  <c r="AN12" i="121" s="1"/>
  <c r="AL12" i="121"/>
  <c r="AI12" i="121" s="1"/>
  <c r="AK12" i="121"/>
  <c r="AH12" i="121" s="1"/>
  <c r="Z12" i="121"/>
  <c r="AO11" i="121"/>
  <c r="AN11" i="121" s="1"/>
  <c r="Z11" i="121" s="1"/>
  <c r="AL11" i="121"/>
  <c r="AI11" i="121" s="1"/>
  <c r="AK11" i="121"/>
  <c r="AH11" i="121" s="1"/>
  <c r="AD11" i="121" s="1"/>
  <c r="V11" i="121" s="1"/>
  <c r="AO10" i="121"/>
  <c r="AN10" i="121" s="1"/>
  <c r="AL10" i="121"/>
  <c r="AI10" i="121" s="1"/>
  <c r="AK10" i="121"/>
  <c r="AH10" i="121" s="1"/>
  <c r="Z10" i="121"/>
  <c r="AO9" i="121"/>
  <c r="AN9" i="121" s="1"/>
  <c r="Z9" i="121" s="1"/>
  <c r="AL9" i="121"/>
  <c r="AI9" i="121" s="1"/>
  <c r="AK9" i="121"/>
  <c r="AH9" i="121" s="1"/>
  <c r="AO8" i="121"/>
  <c r="AL8" i="121"/>
  <c r="AI8" i="121" s="1"/>
  <c r="AK8" i="121"/>
  <c r="AH8" i="121" s="1"/>
  <c r="X39" i="112"/>
  <c r="P39" i="112"/>
  <c r="V39" i="112" s="1"/>
  <c r="X38" i="112"/>
  <c r="P38" i="112"/>
  <c r="T38" i="112" s="1"/>
  <c r="X37" i="112"/>
  <c r="P37" i="112"/>
  <c r="T37" i="112" s="1"/>
  <c r="X36" i="112"/>
  <c r="P36" i="112"/>
  <c r="V36" i="112" s="1"/>
  <c r="X35" i="112"/>
  <c r="P35" i="112"/>
  <c r="AO28" i="112"/>
  <c r="AN28" i="112" s="1"/>
  <c r="Z28" i="112" s="1"/>
  <c r="AO27" i="112"/>
  <c r="AN27" i="112" s="1"/>
  <c r="Z27" i="112" s="1"/>
  <c r="AO26" i="112"/>
  <c r="AO19" i="112"/>
  <c r="AN19" i="112" s="1"/>
  <c r="AK19" i="112"/>
  <c r="AH19" i="112" s="1"/>
  <c r="AI19" i="112"/>
  <c r="Z19" i="112"/>
  <c r="X19" i="112"/>
  <c r="V19" i="112"/>
  <c r="AO18" i="112"/>
  <c r="AN18" i="112" s="1"/>
  <c r="AI18" i="112"/>
  <c r="AK18" i="112"/>
  <c r="AH18" i="112" s="1"/>
  <c r="X18" i="112"/>
  <c r="V18" i="112"/>
  <c r="AO17" i="112"/>
  <c r="AN17" i="112" s="1"/>
  <c r="AI17" i="112"/>
  <c r="AK17" i="112"/>
  <c r="AH17" i="112" s="1"/>
  <c r="AD17" i="112" s="1"/>
  <c r="Z17" i="112"/>
  <c r="X17" i="112"/>
  <c r="V17" i="112"/>
  <c r="AO16" i="112"/>
  <c r="AN16" i="112" s="1"/>
  <c r="AK16" i="112"/>
  <c r="AH16" i="112" s="1"/>
  <c r="AI16" i="112"/>
  <c r="Z16" i="112"/>
  <c r="X16" i="112"/>
  <c r="V16" i="112"/>
  <c r="AO15" i="112"/>
  <c r="AN15" i="112" s="1"/>
  <c r="AI15" i="112"/>
  <c r="AK15" i="112"/>
  <c r="AH15" i="112" s="1"/>
  <c r="Z15" i="112"/>
  <c r="X15" i="112"/>
  <c r="V15" i="112"/>
  <c r="AO14" i="112"/>
  <c r="AN14" i="112" s="1"/>
  <c r="AK14" i="112"/>
  <c r="AH14" i="112" s="1"/>
  <c r="AI14" i="112"/>
  <c r="AE14" i="112" s="1"/>
  <c r="Z14" i="112"/>
  <c r="X14" i="112"/>
  <c r="V14" i="112"/>
  <c r="AO13" i="112"/>
  <c r="AN13" i="112" s="1"/>
  <c r="AI13" i="112"/>
  <c r="AK13" i="112"/>
  <c r="AH13" i="112" s="1"/>
  <c r="Z13" i="112"/>
  <c r="AO12" i="112"/>
  <c r="AK12" i="112"/>
  <c r="AH12" i="112" s="1"/>
  <c r="AI12" i="112"/>
  <c r="AO11" i="112"/>
  <c r="AK11" i="112"/>
  <c r="AH11" i="112" s="1"/>
  <c r="AI11" i="112"/>
  <c r="AO10" i="112"/>
  <c r="AI10" i="112"/>
  <c r="AK10" i="112"/>
  <c r="AH10" i="112" s="1"/>
  <c r="AO9" i="112"/>
  <c r="AK9" i="112"/>
  <c r="AH9" i="112" s="1"/>
  <c r="AI9" i="112"/>
  <c r="AO8" i="112"/>
  <c r="AN8" i="112" s="1"/>
  <c r="AI8" i="112"/>
  <c r="AK8" i="112"/>
  <c r="AH8" i="112" s="1"/>
  <c r="AD8" i="112" s="1"/>
  <c r="N12" i="110"/>
  <c r="N11" i="110"/>
  <c r="N10" i="110"/>
  <c r="N9" i="110"/>
  <c r="X8" i="112" l="1"/>
  <c r="AE8" i="112"/>
  <c r="X40" i="126"/>
  <c r="N13" i="110"/>
  <c r="X35" i="125"/>
  <c r="X40" i="125" s="1"/>
  <c r="X35" i="121"/>
  <c r="X40" i="121" s="1"/>
  <c r="V35" i="125"/>
  <c r="Z8" i="126"/>
  <c r="AN8" i="126"/>
  <c r="T36" i="125"/>
  <c r="Y43" i="125"/>
  <c r="L43" i="125" s="1"/>
  <c r="V39" i="124"/>
  <c r="T36" i="124"/>
  <c r="T40" i="124" s="1"/>
  <c r="V38" i="124"/>
  <c r="T38" i="123"/>
  <c r="T36" i="123"/>
  <c r="T36" i="122"/>
  <c r="T38" i="122"/>
  <c r="AN8" i="121"/>
  <c r="Z8" i="121" s="1"/>
  <c r="Z20" i="121" s="1"/>
  <c r="T36" i="112"/>
  <c r="Z11" i="112"/>
  <c r="AN11" i="112"/>
  <c r="Z10" i="112"/>
  <c r="AN10" i="112"/>
  <c r="AN26" i="112"/>
  <c r="Z26" i="112" s="1"/>
  <c r="Z29" i="112" s="1"/>
  <c r="V37" i="112"/>
  <c r="Z12" i="112"/>
  <c r="AN12" i="112"/>
  <c r="T39" i="112"/>
  <c r="Z9" i="112"/>
  <c r="AN9" i="112"/>
  <c r="Y43" i="112"/>
  <c r="L43" i="112" s="1"/>
  <c r="X40" i="112"/>
  <c r="Z10" i="124"/>
  <c r="AN10" i="124"/>
  <c r="Z12" i="124"/>
  <c r="AN12" i="124"/>
  <c r="Z11" i="124"/>
  <c r="AN11" i="124"/>
  <c r="Z9" i="124"/>
  <c r="AN9" i="124"/>
  <c r="Z13" i="124"/>
  <c r="AN13" i="124"/>
  <c r="Z8" i="124"/>
  <c r="AN8" i="124"/>
  <c r="T35" i="112"/>
  <c r="V35" i="121"/>
  <c r="V37" i="122"/>
  <c r="T38" i="125"/>
  <c r="T36" i="126"/>
  <c r="T36" i="127"/>
  <c r="V39" i="121"/>
  <c r="Y43" i="122"/>
  <c r="L43" i="122" s="1"/>
  <c r="T37" i="123"/>
  <c r="V38" i="125"/>
  <c r="T39" i="126"/>
  <c r="V39" i="127"/>
  <c r="X35" i="122"/>
  <c r="X40" i="122" s="1"/>
  <c r="V37" i="124"/>
  <c r="Y43" i="123"/>
  <c r="L43" i="123" s="1"/>
  <c r="V37" i="121"/>
  <c r="X40" i="123"/>
  <c r="Y43" i="127"/>
  <c r="L43" i="127" s="1"/>
  <c r="X35" i="124"/>
  <c r="X40" i="124" s="1"/>
  <c r="V37" i="125"/>
  <c r="Y43" i="126"/>
  <c r="L43" i="126" s="1"/>
  <c r="T38" i="126"/>
  <c r="V35" i="127"/>
  <c r="T38" i="127"/>
  <c r="X40" i="127"/>
  <c r="Z8" i="112"/>
  <c r="T35" i="126"/>
  <c r="V35" i="126"/>
  <c r="V40" i="126" s="1"/>
  <c r="V35" i="124"/>
  <c r="Y43" i="124"/>
  <c r="L43" i="124" s="1"/>
  <c r="V35" i="112"/>
  <c r="AE17" i="124"/>
  <c r="AD11" i="125"/>
  <c r="V11" i="125" s="1"/>
  <c r="AE14" i="124"/>
  <c r="AE17" i="127"/>
  <c r="AE11" i="121"/>
  <c r="X11" i="121" s="1"/>
  <c r="AE11" i="112"/>
  <c r="X11" i="112" s="1"/>
  <c r="AE13" i="121"/>
  <c r="X13" i="121" s="1"/>
  <c r="AE17" i="121"/>
  <c r="AE13" i="127"/>
  <c r="X13" i="127" s="1"/>
  <c r="AE18" i="122"/>
  <c r="AE16" i="124"/>
  <c r="AE8" i="124"/>
  <c r="X8" i="124" s="1"/>
  <c r="AD11" i="127"/>
  <c r="V11" i="127" s="1"/>
  <c r="AD8" i="125"/>
  <c r="V8" i="125" s="1"/>
  <c r="AE17" i="125"/>
  <c r="AE15" i="112"/>
  <c r="AD17" i="121"/>
  <c r="AD18" i="126"/>
  <c r="AD15" i="121"/>
  <c r="AE14" i="127"/>
  <c r="AE8" i="126"/>
  <c r="X8" i="126" s="1"/>
  <c r="AD16" i="126"/>
  <c r="Z20" i="123"/>
  <c r="Z20" i="126"/>
  <c r="AE14" i="126"/>
  <c r="Z20" i="122"/>
  <c r="AE8" i="123"/>
  <c r="X8" i="123" s="1"/>
  <c r="AE10" i="126"/>
  <c r="X10" i="126" s="1"/>
  <c r="Z20" i="127"/>
  <c r="AE12" i="121"/>
  <c r="X12" i="121" s="1"/>
  <c r="AD8" i="122"/>
  <c r="V8" i="122" s="1"/>
  <c r="AD8" i="124"/>
  <c r="V8" i="124" s="1"/>
  <c r="AD16" i="124"/>
  <c r="AE10" i="122"/>
  <c r="X10" i="122" s="1"/>
  <c r="AD8" i="121"/>
  <c r="V8" i="121" s="1"/>
  <c r="AD10" i="121"/>
  <c r="V10" i="121" s="1"/>
  <c r="AD12" i="121"/>
  <c r="V12" i="121" s="1"/>
  <c r="AD14" i="121"/>
  <c r="AE17" i="123"/>
  <c r="Z20" i="125"/>
  <c r="AD16" i="121"/>
  <c r="AE15" i="126"/>
  <c r="AE13" i="123"/>
  <c r="X13" i="123" s="1"/>
  <c r="AD11" i="126"/>
  <c r="V11" i="126" s="1"/>
  <c r="AE17" i="126"/>
  <c r="AD13" i="126"/>
  <c r="V13" i="126" s="1"/>
  <c r="AD11" i="124"/>
  <c r="V11" i="124" s="1"/>
  <c r="AE13" i="126"/>
  <c r="X13" i="126" s="1"/>
  <c r="AD10" i="127"/>
  <c r="V10" i="127" s="1"/>
  <c r="AE10" i="127"/>
  <c r="X10" i="127" s="1"/>
  <c r="AD13" i="127"/>
  <c r="V13" i="127" s="1"/>
  <c r="T35" i="127"/>
  <c r="AD16" i="127"/>
  <c r="AE16" i="127"/>
  <c r="AD19" i="127"/>
  <c r="AE19" i="127"/>
  <c r="AD9" i="127"/>
  <c r="V9" i="127" s="1"/>
  <c r="AE9" i="127"/>
  <c r="X9" i="127" s="1"/>
  <c r="AD12" i="127"/>
  <c r="V12" i="127" s="1"/>
  <c r="AE12" i="127"/>
  <c r="X12" i="127" s="1"/>
  <c r="AD15" i="127"/>
  <c r="AE15" i="127"/>
  <c r="AD18" i="127"/>
  <c r="AE18" i="127"/>
  <c r="T37" i="127"/>
  <c r="AD8" i="127"/>
  <c r="V8" i="127" s="1"/>
  <c r="AD14" i="127"/>
  <c r="AD10" i="126"/>
  <c r="V10" i="126" s="1"/>
  <c r="AE16" i="126"/>
  <c r="AD19" i="126"/>
  <c r="AE19" i="126"/>
  <c r="AD9" i="126"/>
  <c r="V9" i="126" s="1"/>
  <c r="AE9" i="126"/>
  <c r="X9" i="126" s="1"/>
  <c r="AD12" i="126"/>
  <c r="V12" i="126" s="1"/>
  <c r="AE12" i="126"/>
  <c r="X12" i="126" s="1"/>
  <c r="AD15" i="126"/>
  <c r="AE18" i="126"/>
  <c r="T37" i="126"/>
  <c r="AD14" i="126"/>
  <c r="AD10" i="125"/>
  <c r="V10" i="125" s="1"/>
  <c r="AE10" i="125"/>
  <c r="X10" i="125" s="1"/>
  <c r="AD13" i="125"/>
  <c r="V13" i="125" s="1"/>
  <c r="T39" i="125"/>
  <c r="AE13" i="125"/>
  <c r="X13" i="125" s="1"/>
  <c r="AD16" i="125"/>
  <c r="AE16" i="125"/>
  <c r="AD19" i="125"/>
  <c r="AE19" i="125"/>
  <c r="AD9" i="125"/>
  <c r="V9" i="125" s="1"/>
  <c r="AE9" i="125"/>
  <c r="X9" i="125" s="1"/>
  <c r="AD12" i="125"/>
  <c r="V12" i="125" s="1"/>
  <c r="AE12" i="125"/>
  <c r="X12" i="125" s="1"/>
  <c r="AD15" i="125"/>
  <c r="AE15" i="125"/>
  <c r="AD18" i="125"/>
  <c r="AE18" i="125"/>
  <c r="AE11" i="125"/>
  <c r="X11" i="125" s="1"/>
  <c r="AD14" i="125"/>
  <c r="AD10" i="124"/>
  <c r="V10" i="124" s="1"/>
  <c r="AE10" i="124"/>
  <c r="X10" i="124" s="1"/>
  <c r="AD13" i="124"/>
  <c r="V13" i="124" s="1"/>
  <c r="AD19" i="124"/>
  <c r="AE19" i="124"/>
  <c r="AD9" i="124"/>
  <c r="V9" i="124" s="1"/>
  <c r="AE9" i="124"/>
  <c r="X9" i="124" s="1"/>
  <c r="AD12" i="124"/>
  <c r="V12" i="124" s="1"/>
  <c r="AE12" i="124"/>
  <c r="X12" i="124" s="1"/>
  <c r="AD15" i="124"/>
  <c r="AE15" i="124"/>
  <c r="AD18" i="124"/>
  <c r="AE18" i="124"/>
  <c r="AD14" i="124"/>
  <c r="AD10" i="123"/>
  <c r="V10" i="123" s="1"/>
  <c r="AE10" i="123"/>
  <c r="X10" i="123" s="1"/>
  <c r="AD13" i="123"/>
  <c r="V13" i="123" s="1"/>
  <c r="T35" i="123"/>
  <c r="T39" i="123"/>
  <c r="AD16" i="123"/>
  <c r="V35" i="123"/>
  <c r="V40" i="123" s="1"/>
  <c r="AE16" i="123"/>
  <c r="AD19" i="123"/>
  <c r="AE19" i="123"/>
  <c r="AD9" i="123"/>
  <c r="V9" i="123" s="1"/>
  <c r="AE9" i="123"/>
  <c r="X9" i="123" s="1"/>
  <c r="AD12" i="123"/>
  <c r="V12" i="123" s="1"/>
  <c r="AE12" i="123"/>
  <c r="X12" i="123" s="1"/>
  <c r="AD15" i="123"/>
  <c r="AE15" i="123"/>
  <c r="AD18" i="123"/>
  <c r="AD8" i="123"/>
  <c r="V8" i="123" s="1"/>
  <c r="AD11" i="123"/>
  <c r="V11" i="123" s="1"/>
  <c r="AD14" i="123"/>
  <c r="AD17" i="122"/>
  <c r="AE14" i="122"/>
  <c r="T35" i="122"/>
  <c r="T39" i="122"/>
  <c r="AE13" i="122"/>
  <c r="X13" i="122" s="1"/>
  <c r="AD16" i="122"/>
  <c r="V35" i="122"/>
  <c r="AE16" i="122"/>
  <c r="AD19" i="122"/>
  <c r="AE19" i="122"/>
  <c r="AD9" i="122"/>
  <c r="V9" i="122" s="1"/>
  <c r="AE9" i="122"/>
  <c r="X9" i="122" s="1"/>
  <c r="AD12" i="122"/>
  <c r="V12" i="122" s="1"/>
  <c r="AE12" i="122"/>
  <c r="X12" i="122" s="1"/>
  <c r="AD15" i="122"/>
  <c r="AE15" i="122"/>
  <c r="AD18" i="122"/>
  <c r="AE8" i="122"/>
  <c r="X8" i="122" s="1"/>
  <c r="AD11" i="122"/>
  <c r="V11" i="122" s="1"/>
  <c r="AE11" i="122"/>
  <c r="X11" i="122" s="1"/>
  <c r="AD14" i="122"/>
  <c r="AE10" i="121"/>
  <c r="X10" i="121" s="1"/>
  <c r="AD13" i="121"/>
  <c r="V13" i="121" s="1"/>
  <c r="V38" i="121"/>
  <c r="AE16" i="121"/>
  <c r="AD19" i="121"/>
  <c r="AD9" i="121"/>
  <c r="V9" i="121" s="1"/>
  <c r="T36" i="121"/>
  <c r="T40" i="121" s="1"/>
  <c r="AE9" i="121"/>
  <c r="X9" i="121" s="1"/>
  <c r="AE15" i="121"/>
  <c r="AD18" i="121"/>
  <c r="AE18" i="121"/>
  <c r="Y43" i="121"/>
  <c r="L43" i="121" s="1"/>
  <c r="AE8" i="121"/>
  <c r="X8" i="121" s="1"/>
  <c r="AE17" i="112"/>
  <c r="V38" i="112"/>
  <c r="AD14" i="112"/>
  <c r="AD10" i="112"/>
  <c r="V10" i="112" s="1"/>
  <c r="AE10" i="112"/>
  <c r="X10" i="112" s="1"/>
  <c r="AD13" i="112"/>
  <c r="V13" i="112" s="1"/>
  <c r="AD16" i="112"/>
  <c r="AD19" i="112"/>
  <c r="AE13" i="112"/>
  <c r="X13" i="112" s="1"/>
  <c r="AE16" i="112"/>
  <c r="AE19" i="112"/>
  <c r="AD9" i="112"/>
  <c r="V9" i="112" s="1"/>
  <c r="AE9" i="112"/>
  <c r="X9" i="112" s="1"/>
  <c r="AD12" i="112"/>
  <c r="V12" i="112" s="1"/>
  <c r="AE12" i="112"/>
  <c r="X12" i="112" s="1"/>
  <c r="AD15" i="112"/>
  <c r="AD18" i="112"/>
  <c r="AE18" i="112"/>
  <c r="AD11" i="112"/>
  <c r="V11" i="112" s="1"/>
  <c r="T26" i="110"/>
  <c r="T25" i="110"/>
  <c r="T24" i="110"/>
  <c r="T23" i="110"/>
  <c r="T22" i="110"/>
  <c r="V40" i="122" l="1"/>
  <c r="V40" i="125"/>
  <c r="Z20" i="112"/>
  <c r="V40" i="124"/>
  <c r="X20" i="125"/>
  <c r="W45" i="125" s="1"/>
  <c r="Z20" i="124"/>
  <c r="T40" i="112"/>
  <c r="X20" i="127"/>
  <c r="T40" i="125"/>
  <c r="V40" i="127"/>
  <c r="X20" i="112"/>
  <c r="X20" i="124"/>
  <c r="X20" i="126"/>
  <c r="W45" i="126" s="1"/>
  <c r="V40" i="112"/>
  <c r="V40" i="121"/>
  <c r="X20" i="122"/>
  <c r="W45" i="122" s="1"/>
  <c r="X20" i="121"/>
  <c r="X20" i="123"/>
  <c r="W45" i="123" s="1"/>
  <c r="V20" i="127"/>
  <c r="V20" i="126"/>
  <c r="V20" i="125"/>
  <c r="V20" i="123"/>
  <c r="V20" i="121"/>
  <c r="W44" i="121" s="1"/>
  <c r="V20" i="124"/>
  <c r="W44" i="124" s="1"/>
  <c r="V20" i="122"/>
  <c r="V20" i="112"/>
  <c r="W46" i="112"/>
  <c r="T40" i="126"/>
  <c r="W46" i="122"/>
  <c r="W46" i="125"/>
  <c r="W46" i="124"/>
  <c r="W46" i="121"/>
  <c r="W46" i="126"/>
  <c r="W46" i="127"/>
  <c r="T40" i="123"/>
  <c r="W46" i="123"/>
  <c r="T40" i="127"/>
  <c r="T40" i="122"/>
  <c r="W45" i="124" l="1"/>
  <c r="W44" i="127"/>
  <c r="W45" i="121"/>
  <c r="W44" i="112"/>
  <c r="W45" i="127"/>
  <c r="W44" i="125"/>
  <c r="W45" i="112"/>
  <c r="W44" i="126"/>
  <c r="W44" i="123"/>
  <c r="W44" i="122"/>
  <c r="J19" i="110" l="1"/>
  <c r="P19" i="110"/>
  <c r="T19" i="110" l="1"/>
  <c r="R19" i="110"/>
  <c r="R27" i="110" s="1"/>
  <c r="W34" i="110" s="1"/>
  <c r="AG25" i="131" s="1"/>
  <c r="T32" i="110"/>
  <c r="P26" i="110"/>
  <c r="J26" i="110"/>
  <c r="P25" i="110"/>
  <c r="J25" i="110"/>
  <c r="J24" i="110"/>
  <c r="J23" i="110"/>
  <c r="P23" i="110"/>
  <c r="P22" i="110"/>
  <c r="J22" i="110"/>
  <c r="J21" i="110"/>
  <c r="T21" i="110" s="1"/>
  <c r="P20" i="110"/>
  <c r="J20" i="110"/>
  <c r="T20" i="110" s="1"/>
  <c r="T27" i="110" s="1"/>
  <c r="AE12" i="110"/>
  <c r="AD12" i="110" s="1"/>
  <c r="R12" i="110"/>
  <c r="AE11" i="110"/>
  <c r="AD11" i="110" s="1"/>
  <c r="R11" i="110"/>
  <c r="AE10" i="110"/>
  <c r="AD10" i="110" s="1"/>
  <c r="R10" i="110"/>
  <c r="AE9" i="110"/>
  <c r="AD9" i="110" s="1"/>
  <c r="R9" i="110"/>
  <c r="AE8" i="110"/>
  <c r="P24" i="110"/>
  <c r="P21" i="110"/>
  <c r="R8" i="110" l="1"/>
  <c r="AD8" i="110"/>
  <c r="Y32" i="110"/>
  <c r="P27" i="110"/>
  <c r="W33" i="110" s="1"/>
  <c r="AG24" i="131" s="1"/>
  <c r="P32" i="110"/>
  <c r="J11" i="131" s="1"/>
  <c r="X12" i="131" s="1"/>
  <c r="R13" i="110"/>
  <c r="W35" i="110" s="1"/>
  <c r="AG23" i="131" s="1"/>
  <c r="AH23" i="131" l="1"/>
  <c r="J12" i="131" s="1"/>
  <c r="J17" i="131" s="1"/>
  <c r="AH24" i="131"/>
  <c r="T18" i="131" s="1"/>
  <c r="X11" i="131" l="1"/>
  <c r="J18" i="1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100-000001000000}">
      <text>
        <r>
          <rPr>
            <sz val="9"/>
            <color indexed="81"/>
            <rFont val="ＭＳ Ｐゴシック"/>
            <family val="3"/>
            <charset val="128"/>
          </rPr>
          <t>取得日射量補正係数は簡略計算法にて算出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200-000001000000}">
      <text>
        <r>
          <rPr>
            <sz val="9"/>
            <color indexed="81"/>
            <rFont val="ＭＳ Ｐゴシック"/>
            <family val="3"/>
            <charset val="128"/>
          </rPr>
          <t>取得日射量補正係数は簡略計算法にて算出</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300-000001000000}">
      <text>
        <r>
          <rPr>
            <sz val="9"/>
            <color indexed="81"/>
            <rFont val="ＭＳ Ｐゴシック"/>
            <family val="3"/>
            <charset val="128"/>
          </rPr>
          <t>取得日射量補正係数は簡略計算法にて算出</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400-000001000000}">
      <text>
        <r>
          <rPr>
            <sz val="9"/>
            <color indexed="81"/>
            <rFont val="ＭＳ Ｐゴシック"/>
            <family val="3"/>
            <charset val="128"/>
          </rPr>
          <t>取得日射量補正係数は簡略計算法にて算出</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500-000001000000}">
      <text>
        <r>
          <rPr>
            <sz val="9"/>
            <color indexed="81"/>
            <rFont val="ＭＳ Ｐゴシック"/>
            <family val="3"/>
            <charset val="128"/>
          </rPr>
          <t>取得日射量補正係数は簡略計算法にて算出</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600-000001000000}">
      <text>
        <r>
          <rPr>
            <sz val="9"/>
            <color indexed="81"/>
            <rFont val="ＭＳ Ｐゴシック"/>
            <family val="3"/>
            <charset val="128"/>
          </rPr>
          <t>取得日射量補正係数は簡略計算法にて算出</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700-000001000000}">
      <text>
        <r>
          <rPr>
            <sz val="9"/>
            <color indexed="81"/>
            <rFont val="ＭＳ Ｐゴシック"/>
            <family val="3"/>
            <charset val="128"/>
          </rPr>
          <t>取得日射量補正係数は簡略計算法にて算出</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800-000001000000}">
      <text>
        <r>
          <rPr>
            <sz val="9"/>
            <color indexed="81"/>
            <rFont val="ＭＳ Ｐゴシック"/>
            <family val="3"/>
            <charset val="128"/>
          </rPr>
          <t>取得日射量補正係数は簡略計算法にて算出</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hishinuma</author>
  </authors>
  <commentList>
    <comment ref="N20" authorId="0" shapeId="0" xr:uid="{00000000-0006-0000-0A00-000001000000}">
      <text>
        <r>
          <rPr>
            <sz val="9"/>
            <color indexed="81"/>
            <rFont val="MS P ゴシック"/>
            <family val="3"/>
            <charset val="128"/>
          </rPr>
          <t>日射の当たらない基礎等の場合は、チェックを入れる</t>
        </r>
      </text>
    </comment>
    <comment ref="N33" authorId="0" shapeId="0" xr:uid="{00000000-0006-0000-0A00-000002000000}">
      <text>
        <r>
          <rPr>
            <sz val="9"/>
            <color indexed="81"/>
            <rFont val="MS P ゴシック"/>
            <family val="3"/>
            <charset val="128"/>
          </rPr>
          <t>日射の当たらない基礎等の場合は、チェックを入れる</t>
        </r>
      </text>
    </comment>
  </commentList>
</comments>
</file>

<file path=xl/sharedStrings.xml><?xml version="1.0" encoding="utf-8"?>
<sst xmlns="http://schemas.openxmlformats.org/spreadsheetml/2006/main" count="911" uniqueCount="297">
  <si>
    <t>仕様番号</t>
    <rPh sb="0" eb="2">
      <t>シヨウ</t>
    </rPh>
    <rPh sb="2" eb="4">
      <t>バンゴウ</t>
    </rPh>
    <phoneticPr fontId="4"/>
  </si>
  <si>
    <t>外壁</t>
    <rPh sb="0" eb="2">
      <t>ガイヘキ</t>
    </rPh>
    <phoneticPr fontId="4"/>
  </si>
  <si>
    <t>階</t>
    <rPh sb="0" eb="1">
      <t>カイ</t>
    </rPh>
    <phoneticPr fontId="4"/>
  </si>
  <si>
    <t>ｙ2</t>
    <phoneticPr fontId="4"/>
  </si>
  <si>
    <t>冷房期</t>
    <rPh sb="0" eb="2">
      <t>レイボウ</t>
    </rPh>
    <rPh sb="2" eb="3">
      <t>キ</t>
    </rPh>
    <phoneticPr fontId="4"/>
  </si>
  <si>
    <t>1）窓の入力</t>
    <rPh sb="2" eb="3">
      <t>マド</t>
    </rPh>
    <rPh sb="4" eb="6">
      <t>ニュウリョク</t>
    </rPh>
    <phoneticPr fontId="4"/>
  </si>
  <si>
    <t>窓番号</t>
    <rPh sb="0" eb="1">
      <t>マド</t>
    </rPh>
    <rPh sb="1" eb="3">
      <t>バンゴウ</t>
    </rPh>
    <phoneticPr fontId="4"/>
  </si>
  <si>
    <t>高さ</t>
    <rPh sb="0" eb="1">
      <t>タカ</t>
    </rPh>
    <phoneticPr fontId="4"/>
  </si>
  <si>
    <t>幅</t>
    <rPh sb="0" eb="1">
      <t>ハバ</t>
    </rPh>
    <phoneticPr fontId="4"/>
  </si>
  <si>
    <t>付属部材
の有無</t>
    <rPh sb="0" eb="2">
      <t>フゾク</t>
    </rPh>
    <rPh sb="2" eb="4">
      <t>ブザイ</t>
    </rPh>
    <rPh sb="6" eb="8">
      <t>ウム</t>
    </rPh>
    <phoneticPr fontId="4"/>
  </si>
  <si>
    <t>Z</t>
    <phoneticPr fontId="4"/>
  </si>
  <si>
    <t>ｙ1</t>
    <phoneticPr fontId="4"/>
  </si>
  <si>
    <t>取得日射量補正係数</t>
    <rPh sb="0" eb="2">
      <t>シュトク</t>
    </rPh>
    <rPh sb="2" eb="4">
      <t>ニッシャ</t>
    </rPh>
    <rPh sb="4" eb="5">
      <t>リョウ</t>
    </rPh>
    <rPh sb="5" eb="7">
      <t>ホセイ</t>
    </rPh>
    <rPh sb="7" eb="9">
      <t>ケイスウ</t>
    </rPh>
    <phoneticPr fontId="4"/>
  </si>
  <si>
    <t>2）ドアの入力</t>
    <rPh sb="5" eb="7">
      <t>ニュウリョク</t>
    </rPh>
    <phoneticPr fontId="4"/>
  </si>
  <si>
    <t>ドア番号</t>
    <rPh sb="2" eb="4">
      <t>バンゴウ</t>
    </rPh>
    <phoneticPr fontId="4"/>
  </si>
  <si>
    <t>3）外壁の入力</t>
    <rPh sb="2" eb="4">
      <t>ガイヘキ</t>
    </rPh>
    <rPh sb="5" eb="7">
      <t>ニュウリョク</t>
    </rPh>
    <phoneticPr fontId="4"/>
  </si>
  <si>
    <t>暖房期</t>
    <rPh sb="0" eb="2">
      <t>ダンボウ</t>
    </rPh>
    <rPh sb="2" eb="3">
      <t>キ</t>
    </rPh>
    <phoneticPr fontId="4"/>
  </si>
  <si>
    <t>㎡）</t>
    <phoneticPr fontId="4"/>
  </si>
  <si>
    <t>　総熱損失</t>
    <rPh sb="1" eb="2">
      <t>ソウ</t>
    </rPh>
    <rPh sb="2" eb="3">
      <t>ネツ</t>
    </rPh>
    <rPh sb="3" eb="5">
      <t>ソンシツ</t>
    </rPh>
    <phoneticPr fontId="4"/>
  </si>
  <si>
    <t>W/K</t>
    <phoneticPr fontId="4"/>
  </si>
  <si>
    <t>ドア</t>
    <phoneticPr fontId="4"/>
  </si>
  <si>
    <t>（窓</t>
    <rPh sb="1" eb="2">
      <t>マド</t>
    </rPh>
    <phoneticPr fontId="4"/>
  </si>
  <si>
    <t>㎡</t>
    <phoneticPr fontId="4"/>
  </si>
  <si>
    <t>㎡、</t>
    <phoneticPr fontId="4"/>
  </si>
  <si>
    <t>1）基本情報の入力</t>
    <rPh sb="2" eb="4">
      <t>キホン</t>
    </rPh>
    <rPh sb="4" eb="6">
      <t>ジョウホウ</t>
    </rPh>
    <rPh sb="7" eb="9">
      <t>ニュウリョク</t>
    </rPh>
    <phoneticPr fontId="4"/>
  </si>
  <si>
    <t>　住宅の名称</t>
    <rPh sb="1" eb="3">
      <t>ジュウタク</t>
    </rPh>
    <rPh sb="4" eb="6">
      <t>メイショウ</t>
    </rPh>
    <phoneticPr fontId="4"/>
  </si>
  <si>
    <t>　住宅の所在地</t>
    <rPh sb="1" eb="3">
      <t>ジュウタク</t>
    </rPh>
    <rPh sb="4" eb="7">
      <t>ショザイチ</t>
    </rPh>
    <phoneticPr fontId="4"/>
  </si>
  <si>
    <t>　住宅の規模</t>
    <rPh sb="1" eb="3">
      <t>ジュウタク</t>
    </rPh>
    <rPh sb="4" eb="6">
      <t>キボ</t>
    </rPh>
    <phoneticPr fontId="4"/>
  </si>
  <si>
    <t>（地域区分）</t>
    <rPh sb="1" eb="3">
      <t>チイキ</t>
    </rPh>
    <rPh sb="3" eb="5">
      <t>クブン</t>
    </rPh>
    <phoneticPr fontId="4"/>
  </si>
  <si>
    <t>地上</t>
    <rPh sb="0" eb="2">
      <t>チジョウ</t>
    </rPh>
    <phoneticPr fontId="4"/>
  </si>
  <si>
    <t>、地下</t>
    <rPh sb="1" eb="3">
      <t>チカ</t>
    </rPh>
    <phoneticPr fontId="4"/>
  </si>
  <si>
    <t>2）計算結果</t>
    <rPh sb="2" eb="4">
      <t>ケイサン</t>
    </rPh>
    <rPh sb="4" eb="6">
      <t>ケッカ</t>
    </rPh>
    <phoneticPr fontId="4"/>
  </si>
  <si>
    <t>W/（㎡K）</t>
    <phoneticPr fontId="4"/>
  </si>
  <si>
    <t>方位係数</t>
    <rPh sb="0" eb="2">
      <t>ホウイ</t>
    </rPh>
    <rPh sb="2" eb="4">
      <t>ケイスウ</t>
    </rPh>
    <phoneticPr fontId="4"/>
  </si>
  <si>
    <t>部位番号</t>
    <rPh sb="0" eb="2">
      <t>ブイ</t>
    </rPh>
    <rPh sb="2" eb="4">
      <t>バンゴウ</t>
    </rPh>
    <phoneticPr fontId="4"/>
  </si>
  <si>
    <t>部位名</t>
    <rPh sb="0" eb="2">
      <t>ブイ</t>
    </rPh>
    <rPh sb="2" eb="3">
      <t>メイ</t>
    </rPh>
    <phoneticPr fontId="4"/>
  </si>
  <si>
    <t>1）天窓等の入力</t>
    <rPh sb="2" eb="3">
      <t>テン</t>
    </rPh>
    <rPh sb="3" eb="4">
      <t>マド</t>
    </rPh>
    <rPh sb="4" eb="5">
      <t>トウ</t>
    </rPh>
    <rPh sb="6" eb="8">
      <t>ニュウリョク</t>
    </rPh>
    <phoneticPr fontId="4"/>
  </si>
  <si>
    <t>　外皮等面積（内訳）</t>
    <rPh sb="1" eb="3">
      <t>ガイヒ</t>
    </rPh>
    <rPh sb="3" eb="4">
      <t>トウ</t>
    </rPh>
    <rPh sb="4" eb="6">
      <t>メンセキ</t>
    </rPh>
    <rPh sb="7" eb="9">
      <t>ウチワケ</t>
    </rPh>
    <phoneticPr fontId="4"/>
  </si>
  <si>
    <r>
      <t>内訳計算シートＢ　　</t>
    </r>
    <r>
      <rPr>
        <b/>
        <sz val="14"/>
        <rFont val="HG丸ｺﾞｼｯｸM-PRO"/>
        <family val="3"/>
        <charset val="128"/>
      </rPr>
      <t>＜屋根・天井・床等＞</t>
    </r>
    <r>
      <rPr>
        <sz val="12"/>
        <rFont val="HG丸ｺﾞｼｯｸM-PRO"/>
        <family val="3"/>
        <charset val="128"/>
      </rPr>
      <t xml:space="preserve"> の外皮熱損失量と日射熱取得量</t>
    </r>
    <rPh sb="0" eb="2">
      <t>ウチワケ</t>
    </rPh>
    <rPh sb="2" eb="4">
      <t>ケイサン</t>
    </rPh>
    <rPh sb="17" eb="18">
      <t>ユカ</t>
    </rPh>
    <rPh sb="18" eb="19">
      <t>トウ</t>
    </rPh>
    <rPh sb="29" eb="31">
      <t>ニッシャ</t>
    </rPh>
    <rPh sb="31" eb="32">
      <t>ネツ</t>
    </rPh>
    <rPh sb="32" eb="34">
      <t>シュトク</t>
    </rPh>
    <rPh sb="34" eb="35">
      <t>リョウ</t>
    </rPh>
    <phoneticPr fontId="4"/>
  </si>
  <si>
    <t>2）屋根・天井・外気等に接する床（以下「屋根等」という。）の入力</t>
    <rPh sb="2" eb="4">
      <t>ヤネ</t>
    </rPh>
    <rPh sb="5" eb="7">
      <t>テンジョウ</t>
    </rPh>
    <rPh sb="8" eb="11">
      <t>ガイキトウ</t>
    </rPh>
    <rPh sb="17" eb="19">
      <t>イカ</t>
    </rPh>
    <rPh sb="20" eb="23">
      <t>ヤネトウ</t>
    </rPh>
    <rPh sb="30" eb="32">
      <t>ニュウリョク</t>
    </rPh>
    <phoneticPr fontId="4"/>
  </si>
  <si>
    <t>屋根等他</t>
    <rPh sb="2" eb="3">
      <t>トウ</t>
    </rPh>
    <rPh sb="3" eb="4">
      <t>ホカ</t>
    </rPh>
    <phoneticPr fontId="4"/>
  </si>
  <si>
    <t>天窓</t>
    <rPh sb="0" eb="1">
      <t>テン</t>
    </rPh>
    <rPh sb="1" eb="2">
      <t>マド</t>
    </rPh>
    <phoneticPr fontId="4"/>
  </si>
  <si>
    <t>土間床等面積合計</t>
    <rPh sb="0" eb="2">
      <t>ドマ</t>
    </rPh>
    <rPh sb="2" eb="3">
      <t>ユカ</t>
    </rPh>
    <rPh sb="3" eb="4">
      <t>トウ</t>
    </rPh>
    <rPh sb="4" eb="6">
      <t>メンセキ</t>
    </rPh>
    <rPh sb="6" eb="8">
      <t>ゴウケイ</t>
    </rPh>
    <phoneticPr fontId="4"/>
  </si>
  <si>
    <t>部位
名称</t>
    <rPh sb="0" eb="2">
      <t>ブイ</t>
    </rPh>
    <rPh sb="3" eb="5">
      <t>メイショウ</t>
    </rPh>
    <phoneticPr fontId="4"/>
  </si>
  <si>
    <t>　</t>
  </si>
  <si>
    <t>ﾃﾞﾌｫﾙﾄ
値使用</t>
    <rPh sb="7" eb="8">
      <t>アタイ</t>
    </rPh>
    <rPh sb="8" eb="10">
      <t>シヨウ</t>
    </rPh>
    <phoneticPr fontId="4"/>
  </si>
  <si>
    <t>取得日射量補正係数の算出</t>
    <rPh sb="0" eb="2">
      <t>シュトク</t>
    </rPh>
    <rPh sb="2" eb="4">
      <t>ニッシャ</t>
    </rPh>
    <rPh sb="4" eb="5">
      <t>リョウ</t>
    </rPh>
    <rPh sb="5" eb="7">
      <t>ホセイ</t>
    </rPh>
    <rPh sb="7" eb="9">
      <t>ケイスウ</t>
    </rPh>
    <rPh sb="10" eb="12">
      <t>サンシュツ</t>
    </rPh>
    <phoneticPr fontId="4"/>
  </si>
  <si>
    <t>　冷房期総日射熱取得量</t>
    <rPh sb="1" eb="3">
      <t>レイボウ</t>
    </rPh>
    <rPh sb="3" eb="4">
      <t>キ</t>
    </rPh>
    <rPh sb="4" eb="5">
      <t>ソウ</t>
    </rPh>
    <rPh sb="5" eb="7">
      <t>ニッシャ</t>
    </rPh>
    <rPh sb="7" eb="8">
      <t>ネツ</t>
    </rPh>
    <rPh sb="8" eb="10">
      <t>シュトク</t>
    </rPh>
    <rPh sb="10" eb="11">
      <t>リョウ</t>
    </rPh>
    <phoneticPr fontId="4"/>
  </si>
  <si>
    <t>　暖房期総日射熱取得量</t>
    <rPh sb="1" eb="3">
      <t>ダンボウ</t>
    </rPh>
    <rPh sb="3" eb="4">
      <t>キ</t>
    </rPh>
    <rPh sb="4" eb="5">
      <t>ソウ</t>
    </rPh>
    <rPh sb="5" eb="7">
      <t>ニッシャ</t>
    </rPh>
    <rPh sb="7" eb="8">
      <t>ネツ</t>
    </rPh>
    <rPh sb="8" eb="10">
      <t>シュトク</t>
    </rPh>
    <rPh sb="10" eb="11">
      <t>リョウ</t>
    </rPh>
    <phoneticPr fontId="4"/>
  </si>
  <si>
    <t>日射熱取得量</t>
    <rPh sb="0" eb="2">
      <t>ニッシャ</t>
    </rPh>
    <rPh sb="2" eb="3">
      <t>ネツ</t>
    </rPh>
    <rPh sb="3" eb="5">
      <t>シュトク</t>
    </rPh>
    <rPh sb="5" eb="6">
      <t>リョウ</t>
    </rPh>
    <phoneticPr fontId="4"/>
  </si>
  <si>
    <t>取得日射量補正係数(FALSEの場合)</t>
    <rPh sb="0" eb="2">
      <t>シュトク</t>
    </rPh>
    <rPh sb="2" eb="4">
      <t>ニッシャ</t>
    </rPh>
    <rPh sb="4" eb="5">
      <t>リョウ</t>
    </rPh>
    <rPh sb="5" eb="7">
      <t>ホセイ</t>
    </rPh>
    <rPh sb="7" eb="9">
      <t>ケイスウ</t>
    </rPh>
    <rPh sb="16" eb="18">
      <t>バアイ</t>
    </rPh>
    <phoneticPr fontId="4"/>
  </si>
  <si>
    <t xml:space="preserve"> 部分に入力するか、あるいはドロップボックスから選択してください。</t>
    <rPh sb="1" eb="3">
      <t>ブブン</t>
    </rPh>
    <rPh sb="4" eb="6">
      <t>ニュウリョク</t>
    </rPh>
    <rPh sb="24" eb="26">
      <t>センタク</t>
    </rPh>
    <phoneticPr fontId="4"/>
  </si>
  <si>
    <t>黄色</t>
    <rPh sb="0" eb="2">
      <t>キイロ</t>
    </rPh>
    <phoneticPr fontId="4"/>
  </si>
  <si>
    <t>⊿R</t>
  </si>
  <si>
    <t>⊿R</t>
    <phoneticPr fontId="4"/>
  </si>
  <si>
    <t>Ui</t>
  </si>
  <si>
    <t>Ui</t>
    <phoneticPr fontId="4"/>
  </si>
  <si>
    <t>補正熱貫流率</t>
  </si>
  <si>
    <t>補正熱貫流率</t>
    <rPh sb="0" eb="2">
      <t>ホセイ</t>
    </rPh>
    <rPh sb="2" eb="3">
      <t>ネツ</t>
    </rPh>
    <rPh sb="3" eb="5">
      <t>カンリュウ</t>
    </rPh>
    <rPh sb="5" eb="6">
      <t>リツ</t>
    </rPh>
    <phoneticPr fontId="4"/>
  </si>
  <si>
    <t>温度差係数</t>
    <rPh sb="0" eb="3">
      <t>オンドサ</t>
    </rPh>
    <rPh sb="3" eb="5">
      <t>ケイスウ</t>
    </rPh>
    <phoneticPr fontId="4"/>
  </si>
  <si>
    <t>外皮性能基準値</t>
    <rPh sb="0" eb="2">
      <t>ガイヒ</t>
    </rPh>
    <rPh sb="2" eb="4">
      <t>セイノウ</t>
    </rPh>
    <rPh sb="4" eb="7">
      <t>キジュンチ</t>
    </rPh>
    <phoneticPr fontId="4"/>
  </si>
  <si>
    <t>3）省エネルギー基準外皮性能適合可否結果</t>
    <phoneticPr fontId="4"/>
  </si>
  <si>
    <t>計算結果</t>
  </si>
  <si>
    <t>基準値</t>
  </si>
  <si>
    <t>判定</t>
  </si>
  <si>
    <t>日射熱
取得率
※1</t>
    <rPh sb="0" eb="2">
      <t>ニッシャ</t>
    </rPh>
    <rPh sb="2" eb="3">
      <t>ネツ</t>
    </rPh>
    <rPh sb="4" eb="6">
      <t>シュトク</t>
    </rPh>
    <rPh sb="6" eb="7">
      <t>リツ</t>
    </rPh>
    <phoneticPr fontId="4"/>
  </si>
  <si>
    <t>更新内容</t>
    <rPh sb="0" eb="2">
      <t>コウシン</t>
    </rPh>
    <rPh sb="2" eb="4">
      <t>ナイヨウ</t>
    </rPh>
    <phoneticPr fontId="4"/>
  </si>
  <si>
    <t>東面</t>
    <rPh sb="1" eb="2">
      <t>メン</t>
    </rPh>
    <phoneticPr fontId="4"/>
  </si>
  <si>
    <r>
      <t>内訳計算シートＡ　　</t>
    </r>
    <r>
      <rPr>
        <b/>
        <sz val="12"/>
        <rFont val="HG丸ｺﾞｼｯｸM-PRO"/>
        <family val="3"/>
        <charset val="128"/>
      </rPr>
      <t>＜東面＞</t>
    </r>
    <r>
      <rPr>
        <sz val="12"/>
        <rFont val="HG丸ｺﾞｼｯｸM-PRO"/>
        <family val="3"/>
        <charset val="128"/>
      </rPr>
      <t xml:space="preserve"> の外皮熱損失量と日射熱取得量</t>
    </r>
    <rPh sb="0" eb="2">
      <t>ウチワケ</t>
    </rPh>
    <rPh sb="2" eb="4">
      <t>ケイサン</t>
    </rPh>
    <rPh sb="12" eb="13">
      <t>メン</t>
    </rPh>
    <rPh sb="23" eb="25">
      <t>ニッシャ</t>
    </rPh>
    <rPh sb="25" eb="26">
      <t>ネツ</t>
    </rPh>
    <rPh sb="26" eb="28">
      <t>シュトク</t>
    </rPh>
    <rPh sb="28" eb="29">
      <t>リョウ</t>
    </rPh>
    <phoneticPr fontId="4"/>
  </si>
  <si>
    <r>
      <t xml:space="preserve">外壁 </t>
    </r>
    <r>
      <rPr>
        <b/>
        <sz val="11"/>
        <rFont val="HG丸ｺﾞｼｯｸM-PRO"/>
        <family val="3"/>
        <charset val="128"/>
      </rPr>
      <t>＜北東面＞</t>
    </r>
    <r>
      <rPr>
        <sz val="11"/>
        <rFont val="HG丸ｺﾞｼｯｸM-PRO"/>
        <family val="3"/>
        <charset val="128"/>
      </rPr>
      <t xml:space="preserve"> 各値合計</t>
    </r>
    <rPh sb="0" eb="2">
      <t>ガイヘキ</t>
    </rPh>
    <phoneticPr fontId="4"/>
  </si>
  <si>
    <r>
      <t xml:space="preserve">窓 </t>
    </r>
    <r>
      <rPr>
        <b/>
        <sz val="11"/>
        <rFont val="HG丸ｺﾞｼｯｸM-PRO"/>
        <family val="3"/>
        <charset val="128"/>
      </rPr>
      <t>＜東面＞</t>
    </r>
    <r>
      <rPr>
        <sz val="11"/>
        <rFont val="HG丸ｺﾞｼｯｸM-PRO"/>
        <family val="3"/>
        <charset val="128"/>
      </rPr>
      <t xml:space="preserve"> 各値合計</t>
    </r>
    <rPh sb="0" eb="1">
      <t>マド</t>
    </rPh>
    <rPh sb="4" eb="5">
      <t>メン</t>
    </rPh>
    <rPh sb="7" eb="8">
      <t>カク</t>
    </rPh>
    <rPh sb="8" eb="9">
      <t>アタイ</t>
    </rPh>
    <rPh sb="9" eb="11">
      <t>ゴウケイ</t>
    </rPh>
    <phoneticPr fontId="4"/>
  </si>
  <si>
    <r>
      <t xml:space="preserve">外壁 </t>
    </r>
    <r>
      <rPr>
        <b/>
        <sz val="11"/>
        <rFont val="HG丸ｺﾞｼｯｸM-PRO"/>
        <family val="3"/>
        <charset val="128"/>
      </rPr>
      <t>＜東面＞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</si>
  <si>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＜東面＞</t>
    </r>
    <r>
      <rPr>
        <sz val="11"/>
        <rFont val="HG丸ｺﾞｼｯｸM-PRO"/>
        <family val="3"/>
        <charset val="128"/>
      </rPr>
      <t xml:space="preserve"> 計算結果</t>
    </r>
    <rPh sb="2" eb="4">
      <t>ジュウタク</t>
    </rPh>
    <rPh sb="7" eb="8">
      <t>メン</t>
    </rPh>
    <rPh sb="10" eb="12">
      <t>ケイサン</t>
    </rPh>
    <rPh sb="12" eb="14">
      <t>ケッカ</t>
    </rPh>
    <phoneticPr fontId="4"/>
  </si>
  <si>
    <r>
      <t xml:space="preserve">外壁 </t>
    </r>
    <r>
      <rPr>
        <b/>
        <sz val="11"/>
        <rFont val="HG丸ｺﾞｼｯｸM-PRO"/>
        <family val="3"/>
        <charset val="128"/>
      </rPr>
      <t>＜屋根・天井・床＞</t>
    </r>
    <r>
      <rPr>
        <sz val="11"/>
        <rFont val="HG丸ｺﾞｼｯｸM-PRO"/>
        <family val="3"/>
        <charset val="128"/>
      </rPr>
      <t xml:space="preserve"> 各値合計</t>
    </r>
    <rPh sb="0" eb="2">
      <t>ガイヘキ</t>
    </rPh>
    <rPh sb="10" eb="11">
      <t>ユカ</t>
    </rPh>
    <phoneticPr fontId="4"/>
  </si>
  <si>
    <r>
      <t xml:space="preserve">窓 </t>
    </r>
    <r>
      <rPr>
        <b/>
        <sz val="11"/>
        <rFont val="HG丸ｺﾞｼｯｸM-PRO"/>
        <family val="3"/>
        <charset val="128"/>
      </rPr>
      <t>＜屋根・天井＞</t>
    </r>
    <r>
      <rPr>
        <sz val="11"/>
        <rFont val="HG丸ｺﾞｼｯｸM-PRO"/>
        <family val="3"/>
        <charset val="128"/>
      </rPr>
      <t xml:space="preserve"> 各値合計</t>
    </r>
    <rPh sb="0" eb="1">
      <t>マド</t>
    </rPh>
    <rPh sb="10" eb="11">
      <t>カク</t>
    </rPh>
    <rPh sb="11" eb="12">
      <t>アタイ</t>
    </rPh>
    <rPh sb="12" eb="14">
      <t>ゴウケイ</t>
    </rPh>
    <phoneticPr fontId="4"/>
  </si>
  <si>
    <r>
      <t xml:space="preserve">ドア </t>
    </r>
    <r>
      <rPr>
        <b/>
        <sz val="11"/>
        <rFont val="HG丸ｺﾞｼｯｸM-PRO"/>
        <family val="3"/>
        <charset val="128"/>
      </rPr>
      <t>＜北東面＞</t>
    </r>
    <r>
      <rPr>
        <sz val="11"/>
        <rFont val="HG丸ｺﾞｼｯｸM-PRO"/>
        <family val="3"/>
        <charset val="128"/>
      </rPr>
      <t xml:space="preserve"> 各値合計</t>
    </r>
    <phoneticPr fontId="4"/>
  </si>
  <si>
    <t>等級４</t>
    <rPh sb="0" eb="2">
      <t>トウキュウ</t>
    </rPh>
    <phoneticPr fontId="4"/>
  </si>
  <si>
    <t>等級３</t>
    <rPh sb="0" eb="2">
      <t>トウキュウ</t>
    </rPh>
    <phoneticPr fontId="4"/>
  </si>
  <si>
    <t>等級２</t>
    <rPh sb="0" eb="2">
      <t>トウキュウ</t>
    </rPh>
    <phoneticPr fontId="4"/>
  </si>
  <si>
    <t>-</t>
    <phoneticPr fontId="4"/>
  </si>
  <si>
    <t>等級２</t>
    <phoneticPr fontId="4"/>
  </si>
  <si>
    <r>
      <t xml:space="preserve">3）住宅 </t>
    </r>
    <r>
      <rPr>
        <b/>
        <sz val="11"/>
        <rFont val="HG丸ｺﾞｼｯｸM-PRO"/>
        <family val="3"/>
        <charset val="128"/>
      </rPr>
      <t>＜屋根・天井・床等＞</t>
    </r>
    <r>
      <rPr>
        <sz val="11"/>
        <rFont val="HG丸ｺﾞｼｯｸM-PRO"/>
        <family val="3"/>
        <charset val="128"/>
      </rPr>
      <t xml:space="preserve"> 計算結果</t>
    </r>
    <rPh sb="2" eb="4">
      <t>ジュウタク</t>
    </rPh>
    <rPh sb="12" eb="13">
      <t>ユカ</t>
    </rPh>
    <rPh sb="13" eb="14">
      <t>トウ</t>
    </rPh>
    <rPh sb="16" eb="18">
      <t>ケイサン</t>
    </rPh>
    <rPh sb="18" eb="20">
      <t>ケッカ</t>
    </rPh>
    <phoneticPr fontId="4"/>
  </si>
  <si>
    <t>㎡（</t>
    <phoneticPr fontId="4"/>
  </si>
  <si>
    <t>㎡、</t>
    <phoneticPr fontId="4"/>
  </si>
  <si>
    <t>屋根等</t>
    <phoneticPr fontId="4"/>
  </si>
  <si>
    <t>㎡）</t>
    <phoneticPr fontId="4"/>
  </si>
  <si>
    <t>W/K</t>
    <phoneticPr fontId="4"/>
  </si>
  <si>
    <r>
      <t>　外皮平均熱貫流率(U</t>
    </r>
    <r>
      <rPr>
        <vertAlign val="subscript"/>
        <sz val="10"/>
        <rFont val="ＭＳ Ｐゴシック"/>
        <family val="3"/>
        <charset val="128"/>
      </rPr>
      <t>A</t>
    </r>
    <r>
      <rPr>
        <sz val="10"/>
        <rFont val="ＭＳ Ｐゴシック"/>
        <family val="3"/>
        <charset val="128"/>
      </rPr>
      <t>)</t>
    </r>
    <rPh sb="1" eb="3">
      <t>ガイヒ</t>
    </rPh>
    <rPh sb="3" eb="5">
      <t>ヘイキン</t>
    </rPh>
    <rPh sb="5" eb="6">
      <t>ネツ</t>
    </rPh>
    <rPh sb="6" eb="8">
      <t>カンリュウ</t>
    </rPh>
    <rPh sb="8" eb="9">
      <t>リツ</t>
    </rPh>
    <phoneticPr fontId="4"/>
  </si>
  <si>
    <r>
      <t>　冷房期の平均日射熱取得率(η</t>
    </r>
    <r>
      <rPr>
        <vertAlign val="subscript"/>
        <sz val="10"/>
        <rFont val="ＭＳ Ｐゴシック"/>
        <family val="3"/>
        <charset val="128"/>
      </rPr>
      <t>AC</t>
    </r>
    <r>
      <rPr>
        <sz val="10"/>
        <rFont val="ＭＳ Ｐゴシック"/>
        <family val="3"/>
        <charset val="128"/>
      </rPr>
      <t>)</t>
    </r>
    <phoneticPr fontId="4"/>
  </si>
  <si>
    <r>
      <t>　暖房期の平均日射熱取得率(η</t>
    </r>
    <r>
      <rPr>
        <vertAlign val="subscript"/>
        <sz val="10"/>
        <rFont val="ＭＳ Ｐゴシック"/>
        <family val="3"/>
        <charset val="128"/>
      </rPr>
      <t>AH</t>
    </r>
    <r>
      <rPr>
        <sz val="10"/>
        <rFont val="ＭＳ Ｐゴシック"/>
        <family val="3"/>
        <charset val="128"/>
      </rPr>
      <t>)</t>
    </r>
    <rPh sb="1" eb="3">
      <t>ダンボウ</t>
    </rPh>
    <phoneticPr fontId="4"/>
  </si>
  <si>
    <t>‐H28年省エネルギー基準に基づく（木造戸建て住宅）‐</t>
    <rPh sb="4" eb="5">
      <t>ネン</t>
    </rPh>
    <rPh sb="5" eb="6">
      <t>ショウ</t>
    </rPh>
    <rPh sb="11" eb="13">
      <t>キジュン</t>
    </rPh>
    <rPh sb="14" eb="15">
      <t>モト</t>
    </rPh>
    <rPh sb="18" eb="20">
      <t>モクゾウ</t>
    </rPh>
    <rPh sb="20" eb="22">
      <t>コダ</t>
    </rPh>
    <rPh sb="23" eb="25">
      <t>ジュウタク</t>
    </rPh>
    <phoneticPr fontId="4"/>
  </si>
  <si>
    <t xml:space="preserve">住宅の外皮平均熱貫流率及び平均日射熱取得率（冷房期・暖房期）計算書 </t>
    <rPh sb="0" eb="2">
      <t>ジュウタク</t>
    </rPh>
    <rPh sb="5" eb="7">
      <t>ヘイキン</t>
    </rPh>
    <rPh sb="8" eb="10">
      <t>カンリュウ</t>
    </rPh>
    <rPh sb="10" eb="11">
      <t>リツ</t>
    </rPh>
    <rPh sb="11" eb="12">
      <t>オヨ</t>
    </rPh>
    <rPh sb="13" eb="15">
      <t>ヘイキン</t>
    </rPh>
    <rPh sb="15" eb="17">
      <t>ニッシャ</t>
    </rPh>
    <rPh sb="17" eb="18">
      <t>ネツ</t>
    </rPh>
    <rPh sb="18" eb="20">
      <t>シュトク</t>
    </rPh>
    <rPh sb="20" eb="21">
      <t>リツ</t>
    </rPh>
    <rPh sb="22" eb="24">
      <t>レイボウ</t>
    </rPh>
    <rPh sb="24" eb="25">
      <t>キ</t>
    </rPh>
    <rPh sb="26" eb="28">
      <t>ダンボウ</t>
    </rPh>
    <rPh sb="28" eb="29">
      <t>キ</t>
    </rPh>
    <rPh sb="30" eb="33">
      <t>ケイサンショ</t>
    </rPh>
    <phoneticPr fontId="4"/>
  </si>
  <si>
    <t>１地域</t>
    <rPh sb="1" eb="3">
      <t>チイキ</t>
    </rPh>
    <phoneticPr fontId="4"/>
  </si>
  <si>
    <t>２地域</t>
    <rPh sb="1" eb="3">
      <t>チイキ</t>
    </rPh>
    <phoneticPr fontId="4"/>
  </si>
  <si>
    <t>３地域</t>
    <rPh sb="1" eb="3">
      <t>チイキ</t>
    </rPh>
    <phoneticPr fontId="4"/>
  </si>
  <si>
    <t>４地域</t>
    <rPh sb="1" eb="3">
      <t>チイキ</t>
    </rPh>
    <phoneticPr fontId="4"/>
  </si>
  <si>
    <t>５地域</t>
    <rPh sb="1" eb="3">
      <t>チイキ</t>
    </rPh>
    <phoneticPr fontId="4"/>
  </si>
  <si>
    <t>６地域</t>
    <rPh sb="1" eb="3">
      <t>チイキ</t>
    </rPh>
    <phoneticPr fontId="4"/>
  </si>
  <si>
    <t>７地域</t>
    <rPh sb="1" eb="3">
      <t>チイキ</t>
    </rPh>
    <phoneticPr fontId="4"/>
  </si>
  <si>
    <t>８地域</t>
    <rPh sb="1" eb="3">
      <t>チイキ</t>
    </rPh>
    <phoneticPr fontId="4"/>
  </si>
  <si>
    <t>　※1　建具の仕様、ガラスの仕様および付属部材の組み合わせに応じた日射熱取得率を直接入力して下さい。</t>
    <rPh sb="4" eb="6">
      <t>タテグ</t>
    </rPh>
    <rPh sb="7" eb="9">
      <t>シヨウ</t>
    </rPh>
    <rPh sb="14" eb="16">
      <t>シヨウ</t>
    </rPh>
    <rPh sb="24" eb="25">
      <t>ク</t>
    </rPh>
    <rPh sb="26" eb="27">
      <t>ア</t>
    </rPh>
    <rPh sb="38" eb="39">
      <t>リツ</t>
    </rPh>
    <phoneticPr fontId="4"/>
  </si>
  <si>
    <t>日射熱
取得率
※1</t>
    <rPh sb="0" eb="2">
      <t>ニッシャ</t>
    </rPh>
    <rPh sb="2" eb="3">
      <t>ネツ</t>
    </rPh>
    <rPh sb="4" eb="6">
      <t>シュトク</t>
    </rPh>
    <phoneticPr fontId="4"/>
  </si>
  <si>
    <t>　注２：内訳計算シートＡは、住宅の外壁の面する方位別のシートに入力してください。</t>
    <rPh sb="1" eb="2">
      <t>チュウ</t>
    </rPh>
    <rPh sb="4" eb="6">
      <t>ウチワケ</t>
    </rPh>
    <rPh sb="6" eb="8">
      <t>ケイサン</t>
    </rPh>
    <rPh sb="14" eb="16">
      <t>ジュウタク</t>
    </rPh>
    <rPh sb="17" eb="19">
      <t>ガイヘキ</t>
    </rPh>
    <rPh sb="20" eb="21">
      <t>メン</t>
    </rPh>
    <rPh sb="23" eb="25">
      <t>ホウイ</t>
    </rPh>
    <rPh sb="25" eb="26">
      <t>ベツ</t>
    </rPh>
    <rPh sb="31" eb="33">
      <t>ニュウリョク</t>
    </rPh>
    <phoneticPr fontId="4"/>
  </si>
  <si>
    <t>　注３：各シートの</t>
    <rPh sb="1" eb="2">
      <t>チュウ</t>
    </rPh>
    <rPh sb="4" eb="5">
      <t>カク</t>
    </rPh>
    <phoneticPr fontId="4"/>
  </si>
  <si>
    <t>　注４：各シートに入力する寸法は、メートル単位で入力して下さい。</t>
    <rPh sb="1" eb="2">
      <t>チュウ</t>
    </rPh>
    <rPh sb="4" eb="5">
      <t>カク</t>
    </rPh>
    <rPh sb="9" eb="11">
      <t>ニュウリョク</t>
    </rPh>
    <rPh sb="13" eb="15">
      <t>スンポウ</t>
    </rPh>
    <rPh sb="21" eb="23">
      <t>タンイ</t>
    </rPh>
    <rPh sb="24" eb="26">
      <t>ニュウリョク</t>
    </rPh>
    <rPh sb="28" eb="29">
      <t>クダ</t>
    </rPh>
    <phoneticPr fontId="4"/>
  </si>
  <si>
    <t>　注５：本計算シートでは計算式の誤削除を防止するため、シートを保護しています。</t>
    <rPh sb="1" eb="2">
      <t>チュウ</t>
    </rPh>
    <rPh sb="4" eb="5">
      <t>ホン</t>
    </rPh>
    <rPh sb="5" eb="7">
      <t>ケイサン</t>
    </rPh>
    <rPh sb="12" eb="14">
      <t>ケイサン</t>
    </rPh>
    <rPh sb="14" eb="15">
      <t>シキ</t>
    </rPh>
    <rPh sb="16" eb="17">
      <t>ゴ</t>
    </rPh>
    <rPh sb="17" eb="19">
      <t>サクジョ</t>
    </rPh>
    <rPh sb="20" eb="22">
      <t>ボウシ</t>
    </rPh>
    <rPh sb="31" eb="33">
      <t>ホゴ</t>
    </rPh>
    <phoneticPr fontId="4"/>
  </si>
  <si>
    <t>方位</t>
    <rPh sb="0" eb="2">
      <t>ホウイ</t>
    </rPh>
    <phoneticPr fontId="4"/>
  </si>
  <si>
    <t>基礎壁合計</t>
    <rPh sb="0" eb="2">
      <t>キソ</t>
    </rPh>
    <rPh sb="2" eb="3">
      <t>カベ</t>
    </rPh>
    <rPh sb="3" eb="5">
      <t>ゴウケイ</t>
    </rPh>
    <phoneticPr fontId="4"/>
  </si>
  <si>
    <t>面積
[㎡]</t>
    <rPh sb="0" eb="2">
      <t>メンセキ</t>
    </rPh>
    <phoneticPr fontId="4"/>
  </si>
  <si>
    <t>熱貫流率
[W/(㎡･K)]</t>
    <rPh sb="0" eb="1">
      <t>ネツ</t>
    </rPh>
    <rPh sb="1" eb="2">
      <t>カン</t>
    </rPh>
    <rPh sb="2" eb="3">
      <t>リュウ</t>
    </rPh>
    <rPh sb="3" eb="4">
      <t>リツ</t>
    </rPh>
    <phoneticPr fontId="4"/>
  </si>
  <si>
    <t>熱損失
[W/K]</t>
    <rPh sb="0" eb="1">
      <t>ネツ</t>
    </rPh>
    <rPh sb="1" eb="3">
      <t>ソンシツ</t>
    </rPh>
    <phoneticPr fontId="4"/>
  </si>
  <si>
    <t>線熱貫流率
[W/(m・K)]</t>
    <rPh sb="0" eb="5">
      <t>センネツカンリュウリツ</t>
    </rPh>
    <phoneticPr fontId="4"/>
  </si>
  <si>
    <t>土間等熱損失合計</t>
    <rPh sb="0" eb="2">
      <t>ドマ</t>
    </rPh>
    <rPh sb="2" eb="3">
      <t>トウ</t>
    </rPh>
    <rPh sb="3" eb="4">
      <t>ネツ</t>
    </rPh>
    <rPh sb="4" eb="6">
      <t>ソンシツ</t>
    </rPh>
    <rPh sb="6" eb="8">
      <t>ゴウケイ</t>
    </rPh>
    <phoneticPr fontId="4"/>
  </si>
  <si>
    <t>[W/(W/㎡)]</t>
    <phoneticPr fontId="4"/>
  </si>
  <si>
    <t>方位</t>
    <rPh sb="0" eb="1">
      <t>ホウ</t>
    </rPh>
    <rPh sb="1" eb="2">
      <t>イ</t>
    </rPh>
    <phoneticPr fontId="22"/>
  </si>
  <si>
    <t>南</t>
    <rPh sb="0" eb="1">
      <t>ミナミ</t>
    </rPh>
    <phoneticPr fontId="21"/>
  </si>
  <si>
    <t>東</t>
    <rPh sb="0" eb="1">
      <t>ヒガシ</t>
    </rPh>
    <phoneticPr fontId="21"/>
  </si>
  <si>
    <t>北</t>
    <rPh sb="0" eb="1">
      <t>キタ</t>
    </rPh>
    <phoneticPr fontId="21"/>
  </si>
  <si>
    <t>西</t>
    <rPh sb="0" eb="1">
      <t>ニシ</t>
    </rPh>
    <phoneticPr fontId="21"/>
  </si>
  <si>
    <t>南東</t>
    <rPh sb="0" eb="2">
      <t>ナントウ</t>
    </rPh>
    <phoneticPr fontId="21"/>
  </si>
  <si>
    <t>北東</t>
    <rPh sb="0" eb="2">
      <t>ホクトウ</t>
    </rPh>
    <phoneticPr fontId="21"/>
  </si>
  <si>
    <t>北西</t>
    <rPh sb="0" eb="2">
      <t>ホクセイ</t>
    </rPh>
    <phoneticPr fontId="21"/>
  </si>
  <si>
    <t>南西</t>
    <rPh sb="0" eb="2">
      <t>ナンセイ</t>
    </rPh>
    <phoneticPr fontId="21"/>
  </si>
  <si>
    <t>日射の当たらない基礎等</t>
    <rPh sb="0" eb="2">
      <t>ニッシャ</t>
    </rPh>
    <rPh sb="3" eb="4">
      <t>ア</t>
    </rPh>
    <rPh sb="8" eb="10">
      <t>キソ</t>
    </rPh>
    <rPh sb="10" eb="11">
      <t>トウ</t>
    </rPh>
    <phoneticPr fontId="4"/>
  </si>
  <si>
    <t>方位係数</t>
  </si>
  <si>
    <t>冷房期</t>
    <phoneticPr fontId="4"/>
  </si>
  <si>
    <t>暖房期</t>
    <rPh sb="0" eb="2">
      <t>ダンボウ</t>
    </rPh>
    <phoneticPr fontId="4"/>
  </si>
  <si>
    <t>夏</t>
  </si>
  <si>
    <t>冬</t>
    <rPh sb="0" eb="1">
      <t>フユ</t>
    </rPh>
    <phoneticPr fontId="4"/>
  </si>
  <si>
    <t>南</t>
    <rPh sb="0" eb="1">
      <t>ミナミ</t>
    </rPh>
    <phoneticPr fontId="4"/>
  </si>
  <si>
    <t>東</t>
    <rPh sb="0" eb="1">
      <t>ヒガシ</t>
    </rPh>
    <phoneticPr fontId="4"/>
  </si>
  <si>
    <t>北</t>
    <rPh sb="0" eb="1">
      <t>キタ</t>
    </rPh>
    <phoneticPr fontId="4"/>
  </si>
  <si>
    <t>西</t>
    <rPh sb="0" eb="1">
      <t>ニシ</t>
    </rPh>
    <phoneticPr fontId="4"/>
  </si>
  <si>
    <t>南東</t>
    <rPh sb="0" eb="2">
      <t>ナントウ</t>
    </rPh>
    <phoneticPr fontId="4"/>
  </si>
  <si>
    <t>北東</t>
    <rPh sb="0" eb="2">
      <t>ホクトウ</t>
    </rPh>
    <phoneticPr fontId="4"/>
  </si>
  <si>
    <t>北西</t>
    <rPh sb="0" eb="2">
      <t>ホクセイ</t>
    </rPh>
    <phoneticPr fontId="4"/>
  </si>
  <si>
    <t>南西</t>
    <rPh sb="0" eb="2">
      <t>ナンセイ</t>
    </rPh>
    <phoneticPr fontId="4"/>
  </si>
  <si>
    <t>　外皮等面積の合計(ΣA)</t>
    <phoneticPr fontId="4"/>
  </si>
  <si>
    <r>
      <t>　外皮平均熱貫流率(U</t>
    </r>
    <r>
      <rPr>
        <vertAlign val="subscript"/>
        <sz val="10"/>
        <rFont val="ＭＳ Ｐゴシック"/>
        <family val="3"/>
        <charset val="128"/>
      </rPr>
      <t>A</t>
    </r>
    <r>
      <rPr>
        <sz val="10"/>
        <rFont val="ＭＳ Ｐゴシック"/>
        <family val="3"/>
        <charset val="128"/>
      </rPr>
      <t>)</t>
    </r>
    <phoneticPr fontId="4"/>
  </si>
  <si>
    <r>
      <t>　冷房期の平均日射熱取得率(η</t>
    </r>
    <r>
      <rPr>
        <vertAlign val="subscript"/>
        <sz val="10"/>
        <rFont val="ＭＳ Ｐゴシック"/>
        <family val="3"/>
        <charset val="128"/>
      </rPr>
      <t>AC</t>
    </r>
    <r>
      <rPr>
        <sz val="10"/>
        <rFont val="ＭＳ Ｐゴシック"/>
        <family val="3"/>
        <charset val="128"/>
      </rPr>
      <t>)</t>
    </r>
    <rPh sb="3" eb="4">
      <t>キ</t>
    </rPh>
    <phoneticPr fontId="4"/>
  </si>
  <si>
    <t>寸法[ｍ]</t>
    <rPh sb="0" eb="2">
      <t>スンポウ</t>
    </rPh>
    <phoneticPr fontId="4"/>
  </si>
  <si>
    <r>
      <t xml:space="preserve">熱貫流率
</t>
    </r>
    <r>
      <rPr>
        <sz val="8"/>
        <rFont val="ＭＳ Ｐゴシック"/>
        <family val="3"/>
        <charset val="128"/>
      </rPr>
      <t>[W/(㎡･K)]</t>
    </r>
    <rPh sb="0" eb="1">
      <t>ネツ</t>
    </rPh>
    <rPh sb="1" eb="3">
      <t>カンリュウ</t>
    </rPh>
    <rPh sb="3" eb="4">
      <t>リツ</t>
    </rPh>
    <phoneticPr fontId="4"/>
  </si>
  <si>
    <r>
      <t xml:space="preserve">冷房期
日射熱
取得量
</t>
    </r>
    <r>
      <rPr>
        <sz val="8"/>
        <rFont val="ＭＳ Ｐゴシック"/>
        <family val="3"/>
        <charset val="128"/>
      </rPr>
      <t>[W/(W/㎡)]</t>
    </r>
    <rPh sb="0" eb="2">
      <t>レイボウ</t>
    </rPh>
    <rPh sb="2" eb="3">
      <t>キ</t>
    </rPh>
    <rPh sb="4" eb="6">
      <t>ニッシャ</t>
    </rPh>
    <rPh sb="6" eb="7">
      <t>ネツ</t>
    </rPh>
    <rPh sb="8" eb="10">
      <t>シュトク</t>
    </rPh>
    <rPh sb="10" eb="11">
      <t>リョウ</t>
    </rPh>
    <phoneticPr fontId="4"/>
  </si>
  <si>
    <r>
      <t xml:space="preserve">暖房期
日射熱
取得量
</t>
    </r>
    <r>
      <rPr>
        <sz val="8"/>
        <rFont val="ＭＳ Ｐゴシック"/>
        <family val="3"/>
        <charset val="128"/>
      </rPr>
      <t>[W/(W/㎡)]</t>
    </r>
    <rPh sb="0" eb="2">
      <t>ダンボウ</t>
    </rPh>
    <rPh sb="2" eb="3">
      <t>キ</t>
    </rPh>
    <phoneticPr fontId="4"/>
  </si>
  <si>
    <t>庇による補正計算[ｍ]</t>
    <rPh sb="0" eb="1">
      <t>ヒサシ</t>
    </rPh>
    <rPh sb="4" eb="6">
      <t>ホセイ</t>
    </rPh>
    <rPh sb="6" eb="8">
      <t>ケイサン</t>
    </rPh>
    <phoneticPr fontId="4"/>
  </si>
  <si>
    <r>
      <t xml:space="preserve">冷房期
日射熱
取得量
</t>
    </r>
    <r>
      <rPr>
        <sz val="8"/>
        <rFont val="ＭＳ Ｐゴシック"/>
        <family val="3"/>
        <charset val="128"/>
      </rPr>
      <t>[W/(W/㎡)]</t>
    </r>
    <rPh sb="0" eb="2">
      <t>レイボウ</t>
    </rPh>
    <rPh sb="2" eb="3">
      <t>キ</t>
    </rPh>
    <phoneticPr fontId="4"/>
  </si>
  <si>
    <t>外壁
面積
[㎡]</t>
    <rPh sb="0" eb="2">
      <t>ガイヘキ</t>
    </rPh>
    <rPh sb="3" eb="5">
      <t>メンセキ</t>
    </rPh>
    <phoneticPr fontId="4"/>
  </si>
  <si>
    <t>除外窓
等面積
[㎡]</t>
    <rPh sb="0" eb="2">
      <t>ジョガイ</t>
    </rPh>
    <rPh sb="2" eb="3">
      <t>マド</t>
    </rPh>
    <rPh sb="4" eb="5">
      <t>トウ</t>
    </rPh>
    <rPh sb="5" eb="7">
      <t>メンセキ</t>
    </rPh>
    <phoneticPr fontId="4"/>
  </si>
  <si>
    <t>計算対象
外壁面積[㎡]</t>
    <rPh sb="0" eb="2">
      <t>ケイサン</t>
    </rPh>
    <rPh sb="2" eb="4">
      <t>タイショウ</t>
    </rPh>
    <rPh sb="5" eb="7">
      <t>ガイヘキ</t>
    </rPh>
    <rPh sb="7" eb="9">
      <t>メンセキ</t>
    </rPh>
    <phoneticPr fontId="4"/>
  </si>
  <si>
    <t>屋根等
面積
[㎡]</t>
    <rPh sb="0" eb="2">
      <t>ヤネ</t>
    </rPh>
    <rPh sb="2" eb="3">
      <t>トウ</t>
    </rPh>
    <rPh sb="4" eb="6">
      <t>メンセキ</t>
    </rPh>
    <phoneticPr fontId="4"/>
  </si>
  <si>
    <t>計算対象
外皮面積
[㎡]</t>
    <rPh sb="0" eb="2">
      <t>ケイサン</t>
    </rPh>
    <rPh sb="2" eb="4">
      <t>タイショウ</t>
    </rPh>
    <rPh sb="5" eb="7">
      <t>ガイヒ</t>
    </rPh>
    <rPh sb="7" eb="9">
      <t>メンセキ</t>
    </rPh>
    <phoneticPr fontId="4"/>
  </si>
  <si>
    <r>
      <t>内訳計算シートＣ　　</t>
    </r>
    <r>
      <rPr>
        <b/>
        <sz val="14"/>
        <rFont val="HG丸ｺﾞｼｯｸM-PRO"/>
        <family val="3"/>
        <charset val="128"/>
      </rPr>
      <t>＜基礎壁、基礎等＞</t>
    </r>
    <r>
      <rPr>
        <sz val="12"/>
        <rFont val="HG丸ｺﾞｼｯｸM-PRO"/>
        <family val="3"/>
        <charset val="128"/>
      </rPr>
      <t xml:space="preserve"> の熱損失量（基礎断熱及び土間床等の部分）</t>
    </r>
    <rPh sb="0" eb="2">
      <t>ウチワケ</t>
    </rPh>
    <rPh sb="2" eb="4">
      <t>ケイサン</t>
    </rPh>
    <rPh sb="15" eb="18">
      <t>キソトウ</t>
    </rPh>
    <rPh sb="21" eb="22">
      <t>ネツ</t>
    </rPh>
    <rPh sb="22" eb="24">
      <t>ソンシツ</t>
    </rPh>
    <rPh sb="24" eb="25">
      <t>リョウ</t>
    </rPh>
    <rPh sb="26" eb="28">
      <t>キソ</t>
    </rPh>
    <rPh sb="28" eb="30">
      <t>ダンネツ</t>
    </rPh>
    <rPh sb="30" eb="31">
      <t>オヨ</t>
    </rPh>
    <rPh sb="32" eb="34">
      <t>ドマ</t>
    </rPh>
    <rPh sb="34" eb="35">
      <t>ユカ</t>
    </rPh>
    <rPh sb="35" eb="36">
      <t>トウ</t>
    </rPh>
    <rPh sb="37" eb="39">
      <t>ブブン</t>
    </rPh>
    <phoneticPr fontId="4"/>
  </si>
  <si>
    <t>土間床等の外周長Ｌ［m］</t>
    <phoneticPr fontId="4"/>
  </si>
  <si>
    <r>
      <t xml:space="preserve">冷房期日射熱取得量
</t>
    </r>
    <r>
      <rPr>
        <sz val="8"/>
        <rFont val="ＭＳ Ｐゴシック"/>
        <family val="3"/>
        <charset val="128"/>
      </rPr>
      <t>[W/(W/㎡)]</t>
    </r>
    <rPh sb="0" eb="2">
      <t>レイボウ</t>
    </rPh>
    <rPh sb="2" eb="3">
      <t>キ</t>
    </rPh>
    <phoneticPr fontId="4"/>
  </si>
  <si>
    <r>
      <t xml:space="preserve">暖房期日射熱取得量
</t>
    </r>
    <r>
      <rPr>
        <sz val="8"/>
        <rFont val="ＭＳ Ｐゴシック"/>
        <family val="3"/>
        <charset val="128"/>
      </rPr>
      <t>[W/(W/㎡)]</t>
    </r>
    <rPh sb="0" eb="2">
      <t>ダンボウ</t>
    </rPh>
    <rPh sb="2" eb="3">
      <t>キ</t>
    </rPh>
    <phoneticPr fontId="4"/>
  </si>
  <si>
    <t>※外気または外気に通じる空間（小屋裏・天井裏等）は1.0、外気に通じる床下は0.7を入力してください。</t>
    <rPh sb="1" eb="3">
      <t>ガイキ</t>
    </rPh>
    <rPh sb="6" eb="8">
      <t>ガイキ</t>
    </rPh>
    <rPh sb="9" eb="10">
      <t>ツウ</t>
    </rPh>
    <rPh sb="12" eb="14">
      <t>クウカン</t>
    </rPh>
    <rPh sb="15" eb="18">
      <t>コヤウラ</t>
    </rPh>
    <rPh sb="19" eb="21">
      <t>テンジョウ</t>
    </rPh>
    <rPh sb="21" eb="22">
      <t>ウラ</t>
    </rPh>
    <rPh sb="22" eb="23">
      <t>トウ</t>
    </rPh>
    <rPh sb="29" eb="31">
      <t>ガイキ</t>
    </rPh>
    <rPh sb="32" eb="33">
      <t>ツウ</t>
    </rPh>
    <rPh sb="35" eb="37">
      <t>ユカシタ</t>
    </rPh>
    <rPh sb="42" eb="44">
      <t>ニュウリョク</t>
    </rPh>
    <phoneticPr fontId="4"/>
  </si>
  <si>
    <t>更新履歴</t>
    <rPh sb="0" eb="2">
      <t>コウシン</t>
    </rPh>
    <rPh sb="2" eb="4">
      <t>リレキ</t>
    </rPh>
    <phoneticPr fontId="4"/>
  </si>
  <si>
    <t>バージョン名</t>
    <rPh sb="5" eb="6">
      <t>メイ</t>
    </rPh>
    <phoneticPr fontId="4"/>
  </si>
  <si>
    <t>番号</t>
    <rPh sb="0" eb="2">
      <t>バンゴウ</t>
    </rPh>
    <phoneticPr fontId="4"/>
  </si>
  <si>
    <t>更新箇所</t>
    <rPh sb="0" eb="2">
      <t>コウシン</t>
    </rPh>
    <rPh sb="2" eb="4">
      <t>カショ</t>
    </rPh>
    <phoneticPr fontId="4"/>
  </si>
  <si>
    <t>更新日</t>
    <rPh sb="0" eb="2">
      <t>コウシン</t>
    </rPh>
    <rPh sb="2" eb="3">
      <t>ビ</t>
    </rPh>
    <phoneticPr fontId="4"/>
  </si>
  <si>
    <t>ver2.0
(webプログラムver3.0対応)</t>
    <rPh sb="22" eb="24">
      <t>タイオウ</t>
    </rPh>
    <phoneticPr fontId="4"/>
  </si>
  <si>
    <t>1）</t>
    <phoneticPr fontId="4"/>
  </si>
  <si>
    <t>3)外壁の入力の修正</t>
    <rPh sb="2" eb="4">
      <t>ガイヘキ</t>
    </rPh>
    <rPh sb="5" eb="7">
      <t>ニュウリョク</t>
    </rPh>
    <rPh sb="8" eb="10">
      <t>シュウセイ</t>
    </rPh>
    <phoneticPr fontId="4"/>
  </si>
  <si>
    <t>シートA（方位別計算）</t>
    <rPh sb="5" eb="7">
      <t>ホウイ</t>
    </rPh>
    <rPh sb="7" eb="8">
      <t>ベツ</t>
    </rPh>
    <rPh sb="8" eb="10">
      <t>ケイサン</t>
    </rPh>
    <phoneticPr fontId="4"/>
  </si>
  <si>
    <t>シートB（屋根・天井・床等）</t>
    <rPh sb="5" eb="7">
      <t>ヤネ</t>
    </rPh>
    <rPh sb="8" eb="10">
      <t>テンジョウ</t>
    </rPh>
    <rPh sb="11" eb="13">
      <t>ユカナド</t>
    </rPh>
    <phoneticPr fontId="4"/>
  </si>
  <si>
    <t>2）</t>
  </si>
  <si>
    <t>シートC（基礎壁、基礎等）</t>
    <rPh sb="5" eb="7">
      <t>キソ</t>
    </rPh>
    <rPh sb="7" eb="8">
      <t>カベ</t>
    </rPh>
    <rPh sb="9" eb="12">
      <t>キソナド</t>
    </rPh>
    <phoneticPr fontId="4"/>
  </si>
  <si>
    <t>2）屋根・天井・外気等に接する床の入力の温度差係数欄の追加</t>
    <rPh sb="2" eb="4">
      <t>ヤネ</t>
    </rPh>
    <rPh sb="5" eb="7">
      <t>テンジョウ</t>
    </rPh>
    <rPh sb="8" eb="10">
      <t>ガイキ</t>
    </rPh>
    <rPh sb="10" eb="11">
      <t>ナド</t>
    </rPh>
    <rPh sb="12" eb="13">
      <t>セッ</t>
    </rPh>
    <rPh sb="15" eb="16">
      <t>ユカ</t>
    </rPh>
    <rPh sb="17" eb="19">
      <t>ニュウリョク</t>
    </rPh>
    <rPh sb="20" eb="25">
      <t>オンドサケイスウ</t>
    </rPh>
    <rPh sb="25" eb="26">
      <t>ラン</t>
    </rPh>
    <rPh sb="27" eb="29">
      <t>ツイカ</t>
    </rPh>
    <phoneticPr fontId="4"/>
  </si>
  <si>
    <t>webプログラムver3.0対応へ変更</t>
    <rPh sb="17" eb="19">
      <t>ヘンコウ</t>
    </rPh>
    <phoneticPr fontId="4"/>
  </si>
  <si>
    <t>3）</t>
  </si>
  <si>
    <t>北面</t>
    <phoneticPr fontId="4"/>
  </si>
  <si>
    <r>
      <t>内訳計算シートＡ　　</t>
    </r>
    <r>
      <rPr>
        <b/>
        <sz val="12"/>
        <rFont val="HG丸ｺﾞｼｯｸM-PRO"/>
        <family val="3"/>
        <charset val="128"/>
      </rPr>
      <t>＜北面＞</t>
    </r>
    <r>
      <rPr>
        <sz val="12"/>
        <rFont val="HG丸ｺﾞｼｯｸM-PRO"/>
        <family val="3"/>
        <charset val="128"/>
      </rPr>
      <t xml:space="preserve"> の外皮熱損失量と日射熱取得量</t>
    </r>
    <rPh sb="0" eb="2">
      <t>ウチワケ</t>
    </rPh>
    <rPh sb="2" eb="4">
      <t>ケイサン</t>
    </rPh>
    <rPh sb="23" eb="25">
      <t>ニッシャ</t>
    </rPh>
    <rPh sb="25" eb="26">
      <t>ネツ</t>
    </rPh>
    <rPh sb="26" eb="28">
      <t>シュトク</t>
    </rPh>
    <rPh sb="28" eb="29">
      <t>リョウ</t>
    </rPh>
    <phoneticPr fontId="4"/>
  </si>
  <si>
    <r>
      <t xml:space="preserve">窓 </t>
    </r>
    <r>
      <rPr>
        <b/>
        <sz val="11"/>
        <rFont val="HG丸ｺﾞｼｯｸM-PRO"/>
        <family val="3"/>
        <charset val="128"/>
      </rPr>
      <t>＜北面＞</t>
    </r>
    <r>
      <rPr>
        <sz val="11"/>
        <rFont val="HG丸ｺﾞｼｯｸM-PRO"/>
        <family val="3"/>
        <charset val="128"/>
      </rPr>
      <t xml:space="preserve"> 各値合計</t>
    </r>
    <rPh sb="0" eb="1">
      <t>マド</t>
    </rPh>
    <rPh sb="7" eb="8">
      <t>カク</t>
    </rPh>
    <rPh sb="8" eb="9">
      <t>アタイ</t>
    </rPh>
    <rPh sb="9" eb="11">
      <t>ゴウケイ</t>
    </rPh>
    <phoneticPr fontId="4"/>
  </si>
  <si>
    <r>
      <t xml:space="preserve">外壁 </t>
    </r>
    <r>
      <rPr>
        <b/>
        <sz val="11"/>
        <rFont val="HG丸ｺﾞｼｯｸM-PRO"/>
        <family val="3"/>
        <charset val="128"/>
      </rPr>
      <t>＜北面＞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</si>
  <si>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＜北面＞</t>
    </r>
    <r>
      <rPr>
        <sz val="11"/>
        <rFont val="HG丸ｺﾞｼｯｸM-PRO"/>
        <family val="3"/>
        <charset val="128"/>
      </rPr>
      <t xml:space="preserve"> 計算結果</t>
    </r>
    <rPh sb="2" eb="4">
      <t>ジュウタク</t>
    </rPh>
    <rPh sb="10" eb="12">
      <t>ケイサン</t>
    </rPh>
    <rPh sb="12" eb="14">
      <t>ケッカ</t>
    </rPh>
    <phoneticPr fontId="4"/>
  </si>
  <si>
    <r>
      <t>内訳計算シートＡ　　</t>
    </r>
    <r>
      <rPr>
        <b/>
        <sz val="12"/>
        <rFont val="HG丸ｺﾞｼｯｸM-PRO"/>
        <family val="3"/>
        <charset val="128"/>
      </rPr>
      <t>＜北東面＞</t>
    </r>
    <r>
      <rPr>
        <sz val="12"/>
        <rFont val="HG丸ｺﾞｼｯｸM-PRO"/>
        <family val="3"/>
        <charset val="128"/>
      </rPr>
      <t xml:space="preserve"> の外皮熱損失量と日射熱取得量</t>
    </r>
    <rPh sb="0" eb="2">
      <t>ウチワケ</t>
    </rPh>
    <rPh sb="2" eb="4">
      <t>ケイサン</t>
    </rPh>
    <rPh sb="24" eb="26">
      <t>ニッシャ</t>
    </rPh>
    <rPh sb="26" eb="27">
      <t>ネツ</t>
    </rPh>
    <rPh sb="27" eb="29">
      <t>シュトク</t>
    </rPh>
    <rPh sb="29" eb="30">
      <t>リョウ</t>
    </rPh>
    <phoneticPr fontId="4"/>
  </si>
  <si>
    <r>
      <t xml:space="preserve">窓 </t>
    </r>
    <r>
      <rPr>
        <b/>
        <sz val="11"/>
        <rFont val="HG丸ｺﾞｼｯｸM-PRO"/>
        <family val="3"/>
        <charset val="128"/>
      </rPr>
      <t>＜北東面＞</t>
    </r>
    <r>
      <rPr>
        <sz val="11"/>
        <rFont val="HG丸ｺﾞｼｯｸM-PRO"/>
        <family val="3"/>
        <charset val="128"/>
      </rPr>
      <t xml:space="preserve"> 各値合計</t>
    </r>
    <rPh sb="0" eb="1">
      <t>マド</t>
    </rPh>
    <rPh sb="8" eb="9">
      <t>カク</t>
    </rPh>
    <rPh sb="9" eb="10">
      <t>アタイ</t>
    </rPh>
    <rPh sb="10" eb="12">
      <t>ゴウケイ</t>
    </rPh>
    <phoneticPr fontId="4"/>
  </si>
  <si>
    <r>
      <t xml:space="preserve">4）住宅 </t>
    </r>
    <r>
      <rPr>
        <b/>
        <sz val="11"/>
        <rFont val="HG丸ｺﾞｼｯｸM-PRO"/>
        <family val="3"/>
        <charset val="128"/>
      </rPr>
      <t>＜北東面＞</t>
    </r>
    <r>
      <rPr>
        <sz val="11"/>
        <rFont val="HG丸ｺﾞｼｯｸM-PRO"/>
        <family val="3"/>
        <charset val="128"/>
      </rPr>
      <t xml:space="preserve"> 計算結果</t>
    </r>
    <rPh sb="2" eb="4">
      <t>ジュウタク</t>
    </rPh>
    <rPh sb="11" eb="13">
      <t>ケイサン</t>
    </rPh>
    <rPh sb="13" eb="15">
      <t>ケッカ</t>
    </rPh>
    <phoneticPr fontId="4"/>
  </si>
  <si>
    <t>北東面</t>
    <rPh sb="0" eb="1">
      <t>キタ</t>
    </rPh>
    <rPh sb="2" eb="3">
      <t>メン</t>
    </rPh>
    <phoneticPr fontId="4"/>
  </si>
  <si>
    <t>南東面</t>
    <phoneticPr fontId="4"/>
  </si>
  <si>
    <t>南面</t>
    <phoneticPr fontId="4"/>
  </si>
  <si>
    <t>南西面</t>
    <phoneticPr fontId="4"/>
  </si>
  <si>
    <t>西面</t>
    <phoneticPr fontId="4"/>
  </si>
  <si>
    <t>北西面</t>
    <phoneticPr fontId="4"/>
  </si>
  <si>
    <r>
      <t>内訳計算シートＡ　　</t>
    </r>
    <r>
      <rPr>
        <b/>
        <sz val="12"/>
        <rFont val="HG丸ｺﾞｼｯｸM-PRO"/>
        <family val="3"/>
        <charset val="128"/>
      </rPr>
      <t>＜北西面＞</t>
    </r>
    <r>
      <rPr>
        <sz val="12"/>
        <rFont val="HG丸ｺﾞｼｯｸM-PRO"/>
        <family val="3"/>
        <charset val="128"/>
      </rPr>
      <t xml:space="preserve"> の外皮熱損失量と日射熱取得量</t>
    </r>
    <rPh sb="0" eb="2">
      <t>ウチワケ</t>
    </rPh>
    <rPh sb="2" eb="4">
      <t>ケイサン</t>
    </rPh>
    <rPh sb="24" eb="26">
      <t>ニッシャ</t>
    </rPh>
    <rPh sb="26" eb="27">
      <t>ネツ</t>
    </rPh>
    <rPh sb="27" eb="29">
      <t>シュトク</t>
    </rPh>
    <rPh sb="29" eb="30">
      <t>リョウ</t>
    </rPh>
    <phoneticPr fontId="4"/>
  </si>
  <si>
    <r>
      <t xml:space="preserve">窓 </t>
    </r>
    <r>
      <rPr>
        <b/>
        <sz val="11"/>
        <rFont val="HG丸ｺﾞｼｯｸM-PRO"/>
        <family val="3"/>
        <charset val="128"/>
      </rPr>
      <t>＜北西面＞</t>
    </r>
    <r>
      <rPr>
        <sz val="11"/>
        <rFont val="HG丸ｺﾞｼｯｸM-PRO"/>
        <family val="3"/>
        <charset val="128"/>
      </rPr>
      <t xml:space="preserve"> 各値合計</t>
    </r>
    <rPh sb="0" eb="1">
      <t>マド</t>
    </rPh>
    <rPh sb="8" eb="9">
      <t>カク</t>
    </rPh>
    <rPh sb="9" eb="10">
      <t>アタイ</t>
    </rPh>
    <rPh sb="10" eb="12">
      <t>ゴウケイ</t>
    </rPh>
    <phoneticPr fontId="4"/>
  </si>
  <si>
    <r>
      <t xml:space="preserve">ドア </t>
    </r>
    <r>
      <rPr>
        <b/>
        <sz val="11"/>
        <rFont val="HG丸ｺﾞｼｯｸM-PRO"/>
        <family val="3"/>
        <charset val="128"/>
      </rPr>
      <t>＜北西面＞</t>
    </r>
    <r>
      <rPr>
        <sz val="11"/>
        <rFont val="HG丸ｺﾞｼｯｸM-PRO"/>
        <family val="3"/>
        <charset val="128"/>
      </rPr>
      <t xml:space="preserve"> 各値合計</t>
    </r>
    <phoneticPr fontId="4"/>
  </si>
  <si>
    <r>
      <t xml:space="preserve">外壁 </t>
    </r>
    <r>
      <rPr>
        <b/>
        <sz val="11"/>
        <rFont val="HG丸ｺﾞｼｯｸM-PRO"/>
        <family val="3"/>
        <charset val="128"/>
      </rPr>
      <t>＜北西面＞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</si>
  <si>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＜北西面＞</t>
    </r>
    <r>
      <rPr>
        <sz val="11"/>
        <rFont val="HG丸ｺﾞｼｯｸM-PRO"/>
        <family val="3"/>
        <charset val="128"/>
      </rPr>
      <t xml:space="preserve"> 計算結果</t>
    </r>
    <rPh sb="2" eb="4">
      <t>ジュウタク</t>
    </rPh>
    <rPh sb="11" eb="13">
      <t>ケイサン</t>
    </rPh>
    <rPh sb="13" eb="15">
      <t>ケッカ</t>
    </rPh>
    <phoneticPr fontId="4"/>
  </si>
  <si>
    <r>
      <t>内訳計算シートＡ　　</t>
    </r>
    <r>
      <rPr>
        <b/>
        <sz val="12"/>
        <rFont val="HG丸ｺﾞｼｯｸM-PRO"/>
        <family val="3"/>
        <charset val="128"/>
      </rPr>
      <t>＜西面＞</t>
    </r>
    <r>
      <rPr>
        <sz val="12"/>
        <rFont val="HG丸ｺﾞｼｯｸM-PRO"/>
        <family val="3"/>
        <charset val="128"/>
      </rPr>
      <t xml:space="preserve"> の外皮熱損失量と日射熱取得量</t>
    </r>
    <rPh sb="0" eb="2">
      <t>ウチワケ</t>
    </rPh>
    <rPh sb="2" eb="4">
      <t>ケイサン</t>
    </rPh>
    <rPh sb="23" eb="25">
      <t>ニッシャ</t>
    </rPh>
    <rPh sb="25" eb="26">
      <t>ネツ</t>
    </rPh>
    <rPh sb="26" eb="28">
      <t>シュトク</t>
    </rPh>
    <rPh sb="28" eb="29">
      <t>リョウ</t>
    </rPh>
    <phoneticPr fontId="4"/>
  </si>
  <si>
    <r>
      <t xml:space="preserve">窓 </t>
    </r>
    <r>
      <rPr>
        <b/>
        <sz val="11"/>
        <rFont val="HG丸ｺﾞｼｯｸM-PRO"/>
        <family val="3"/>
        <charset val="128"/>
      </rPr>
      <t>＜西面＞</t>
    </r>
    <r>
      <rPr>
        <sz val="11"/>
        <rFont val="HG丸ｺﾞｼｯｸM-PRO"/>
        <family val="3"/>
        <charset val="128"/>
      </rPr>
      <t xml:space="preserve"> 各値合計</t>
    </r>
    <rPh sb="0" eb="1">
      <t>マド</t>
    </rPh>
    <rPh sb="7" eb="8">
      <t>カク</t>
    </rPh>
    <rPh sb="8" eb="9">
      <t>アタイ</t>
    </rPh>
    <rPh sb="9" eb="11">
      <t>ゴウケイ</t>
    </rPh>
    <phoneticPr fontId="4"/>
  </si>
  <si>
    <r>
      <t xml:space="preserve">ドア </t>
    </r>
    <r>
      <rPr>
        <b/>
        <sz val="11"/>
        <rFont val="HG丸ｺﾞｼｯｸM-PRO"/>
        <family val="3"/>
        <charset val="128"/>
      </rPr>
      <t>＜西面＞</t>
    </r>
    <r>
      <rPr>
        <sz val="11"/>
        <rFont val="HG丸ｺﾞｼｯｸM-PRO"/>
        <family val="3"/>
        <charset val="128"/>
      </rPr>
      <t xml:space="preserve"> 各値合計</t>
    </r>
    <phoneticPr fontId="4"/>
  </si>
  <si>
    <r>
      <t xml:space="preserve">外壁 </t>
    </r>
    <r>
      <rPr>
        <b/>
        <sz val="11"/>
        <rFont val="HG丸ｺﾞｼｯｸM-PRO"/>
        <family val="3"/>
        <charset val="128"/>
      </rPr>
      <t>＜西面＞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</si>
  <si>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＜西面＞</t>
    </r>
    <r>
      <rPr>
        <sz val="11"/>
        <rFont val="HG丸ｺﾞｼｯｸM-PRO"/>
        <family val="3"/>
        <charset val="128"/>
      </rPr>
      <t xml:space="preserve"> 計算結果</t>
    </r>
    <rPh sb="2" eb="4">
      <t>ジュウタク</t>
    </rPh>
    <rPh sb="10" eb="12">
      <t>ケイサン</t>
    </rPh>
    <rPh sb="12" eb="14">
      <t>ケッカ</t>
    </rPh>
    <phoneticPr fontId="4"/>
  </si>
  <si>
    <r>
      <t>内訳計算シートＡ　　</t>
    </r>
    <r>
      <rPr>
        <b/>
        <sz val="12"/>
        <rFont val="HG丸ｺﾞｼｯｸM-PRO"/>
        <family val="3"/>
        <charset val="128"/>
      </rPr>
      <t>＜南西面＞</t>
    </r>
    <r>
      <rPr>
        <sz val="12"/>
        <rFont val="HG丸ｺﾞｼｯｸM-PRO"/>
        <family val="3"/>
        <charset val="128"/>
      </rPr>
      <t xml:space="preserve"> の外皮熱損失量と日射熱取得量</t>
    </r>
    <rPh sb="0" eb="2">
      <t>ウチワケ</t>
    </rPh>
    <rPh sb="2" eb="4">
      <t>ケイサン</t>
    </rPh>
    <rPh sb="24" eb="26">
      <t>ニッシャ</t>
    </rPh>
    <rPh sb="26" eb="27">
      <t>ネツ</t>
    </rPh>
    <rPh sb="27" eb="29">
      <t>シュトク</t>
    </rPh>
    <rPh sb="29" eb="30">
      <t>リョウ</t>
    </rPh>
    <phoneticPr fontId="4"/>
  </si>
  <si>
    <r>
      <t xml:space="preserve">窓 </t>
    </r>
    <r>
      <rPr>
        <b/>
        <sz val="11"/>
        <rFont val="HG丸ｺﾞｼｯｸM-PRO"/>
        <family val="3"/>
        <charset val="128"/>
      </rPr>
      <t>＜南西面＞</t>
    </r>
    <r>
      <rPr>
        <sz val="11"/>
        <rFont val="HG丸ｺﾞｼｯｸM-PRO"/>
        <family val="3"/>
        <charset val="128"/>
      </rPr>
      <t xml:space="preserve"> 各値合計</t>
    </r>
    <rPh sb="0" eb="1">
      <t>マド</t>
    </rPh>
    <rPh sb="8" eb="9">
      <t>カク</t>
    </rPh>
    <rPh sb="9" eb="10">
      <t>アタイ</t>
    </rPh>
    <rPh sb="10" eb="12">
      <t>ゴウケイ</t>
    </rPh>
    <phoneticPr fontId="4"/>
  </si>
  <si>
    <r>
      <t xml:space="preserve">ドア </t>
    </r>
    <r>
      <rPr>
        <b/>
        <sz val="11"/>
        <rFont val="HG丸ｺﾞｼｯｸM-PRO"/>
        <family val="3"/>
        <charset val="128"/>
      </rPr>
      <t>＜南西面＞</t>
    </r>
    <r>
      <rPr>
        <sz val="11"/>
        <rFont val="HG丸ｺﾞｼｯｸM-PRO"/>
        <family val="3"/>
        <charset val="128"/>
      </rPr>
      <t xml:space="preserve"> 各値合計</t>
    </r>
    <phoneticPr fontId="4"/>
  </si>
  <si>
    <r>
      <t xml:space="preserve">外壁 </t>
    </r>
    <r>
      <rPr>
        <b/>
        <sz val="11"/>
        <rFont val="HG丸ｺﾞｼｯｸM-PRO"/>
        <family val="3"/>
        <charset val="128"/>
      </rPr>
      <t>＜南西面＞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</si>
  <si>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＜南西面＞</t>
    </r>
    <r>
      <rPr>
        <sz val="11"/>
        <rFont val="HG丸ｺﾞｼｯｸM-PRO"/>
        <family val="3"/>
        <charset val="128"/>
      </rPr>
      <t xml:space="preserve"> 計算結果</t>
    </r>
    <rPh sb="2" eb="4">
      <t>ジュウタク</t>
    </rPh>
    <rPh sb="11" eb="13">
      <t>ケイサン</t>
    </rPh>
    <rPh sb="13" eb="15">
      <t>ケッカ</t>
    </rPh>
    <phoneticPr fontId="4"/>
  </si>
  <si>
    <r>
      <t>内訳計算シートＡ　　</t>
    </r>
    <r>
      <rPr>
        <b/>
        <sz val="12"/>
        <rFont val="HG丸ｺﾞｼｯｸM-PRO"/>
        <family val="3"/>
        <charset val="128"/>
      </rPr>
      <t>＜南面＞</t>
    </r>
    <r>
      <rPr>
        <sz val="12"/>
        <rFont val="HG丸ｺﾞｼｯｸM-PRO"/>
        <family val="3"/>
        <charset val="128"/>
      </rPr>
      <t xml:space="preserve"> の外皮熱損失量と日射熱取得量</t>
    </r>
    <rPh sb="0" eb="2">
      <t>ウチワケ</t>
    </rPh>
    <rPh sb="2" eb="4">
      <t>ケイサン</t>
    </rPh>
    <rPh sb="23" eb="25">
      <t>ニッシャ</t>
    </rPh>
    <rPh sb="25" eb="26">
      <t>ネツ</t>
    </rPh>
    <rPh sb="26" eb="28">
      <t>シュトク</t>
    </rPh>
    <rPh sb="28" eb="29">
      <t>リョウ</t>
    </rPh>
    <phoneticPr fontId="4"/>
  </si>
  <si>
    <r>
      <t xml:space="preserve">窓 </t>
    </r>
    <r>
      <rPr>
        <b/>
        <sz val="11"/>
        <rFont val="HG丸ｺﾞｼｯｸM-PRO"/>
        <family val="3"/>
        <charset val="128"/>
      </rPr>
      <t>＜南面＞</t>
    </r>
    <r>
      <rPr>
        <sz val="11"/>
        <rFont val="HG丸ｺﾞｼｯｸM-PRO"/>
        <family val="3"/>
        <charset val="128"/>
      </rPr>
      <t xml:space="preserve"> 各値合計</t>
    </r>
    <rPh sb="0" eb="1">
      <t>マド</t>
    </rPh>
    <rPh sb="7" eb="8">
      <t>カク</t>
    </rPh>
    <rPh sb="8" eb="9">
      <t>アタイ</t>
    </rPh>
    <rPh sb="9" eb="11">
      <t>ゴウケイ</t>
    </rPh>
    <phoneticPr fontId="4"/>
  </si>
  <si>
    <r>
      <t xml:space="preserve">ドア </t>
    </r>
    <r>
      <rPr>
        <b/>
        <sz val="11"/>
        <rFont val="HG丸ｺﾞｼｯｸM-PRO"/>
        <family val="3"/>
        <charset val="128"/>
      </rPr>
      <t>＜南面＞</t>
    </r>
    <r>
      <rPr>
        <sz val="11"/>
        <rFont val="HG丸ｺﾞｼｯｸM-PRO"/>
        <family val="3"/>
        <charset val="128"/>
      </rPr>
      <t xml:space="preserve"> 各値合計</t>
    </r>
    <phoneticPr fontId="4"/>
  </si>
  <si>
    <r>
      <t xml:space="preserve">外壁 </t>
    </r>
    <r>
      <rPr>
        <b/>
        <sz val="11"/>
        <rFont val="HG丸ｺﾞｼｯｸM-PRO"/>
        <family val="3"/>
        <charset val="128"/>
      </rPr>
      <t>＜南面＞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</si>
  <si>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＜南面＞</t>
    </r>
    <r>
      <rPr>
        <sz val="11"/>
        <rFont val="HG丸ｺﾞｼｯｸM-PRO"/>
        <family val="3"/>
        <charset val="128"/>
      </rPr>
      <t xml:space="preserve"> 計算結果</t>
    </r>
    <rPh sb="2" eb="4">
      <t>ジュウタク</t>
    </rPh>
    <rPh sb="10" eb="12">
      <t>ケイサン</t>
    </rPh>
    <rPh sb="12" eb="14">
      <t>ケッカ</t>
    </rPh>
    <phoneticPr fontId="4"/>
  </si>
  <si>
    <r>
      <t>内訳計算シートＡ　　</t>
    </r>
    <r>
      <rPr>
        <b/>
        <sz val="12"/>
        <rFont val="HG丸ｺﾞｼｯｸM-PRO"/>
        <family val="3"/>
        <charset val="128"/>
      </rPr>
      <t>＜南東面＞</t>
    </r>
    <r>
      <rPr>
        <sz val="12"/>
        <rFont val="HG丸ｺﾞｼｯｸM-PRO"/>
        <family val="3"/>
        <charset val="128"/>
      </rPr>
      <t xml:space="preserve"> の外皮熱損失量と日射熱取得量</t>
    </r>
    <rPh sb="0" eb="2">
      <t>ウチワケ</t>
    </rPh>
    <rPh sb="2" eb="4">
      <t>ケイサン</t>
    </rPh>
    <rPh sb="24" eb="26">
      <t>ニッシャ</t>
    </rPh>
    <rPh sb="26" eb="27">
      <t>ネツ</t>
    </rPh>
    <rPh sb="27" eb="29">
      <t>シュトク</t>
    </rPh>
    <rPh sb="29" eb="30">
      <t>リョウ</t>
    </rPh>
    <phoneticPr fontId="4"/>
  </si>
  <si>
    <r>
      <t xml:space="preserve">窓 </t>
    </r>
    <r>
      <rPr>
        <b/>
        <sz val="11"/>
        <rFont val="HG丸ｺﾞｼｯｸM-PRO"/>
        <family val="3"/>
        <charset val="128"/>
      </rPr>
      <t>＜南東面＞</t>
    </r>
    <r>
      <rPr>
        <sz val="11"/>
        <rFont val="HG丸ｺﾞｼｯｸM-PRO"/>
        <family val="3"/>
        <charset val="128"/>
      </rPr>
      <t xml:space="preserve"> 各値合計</t>
    </r>
    <rPh sb="0" eb="1">
      <t>マド</t>
    </rPh>
    <rPh sb="8" eb="9">
      <t>カク</t>
    </rPh>
    <rPh sb="9" eb="10">
      <t>アタイ</t>
    </rPh>
    <rPh sb="10" eb="12">
      <t>ゴウケイ</t>
    </rPh>
    <phoneticPr fontId="4"/>
  </si>
  <si>
    <r>
      <t xml:space="preserve">ドア </t>
    </r>
    <r>
      <rPr>
        <b/>
        <sz val="11"/>
        <rFont val="HG丸ｺﾞｼｯｸM-PRO"/>
        <family val="3"/>
        <charset val="128"/>
      </rPr>
      <t>＜南東面＞</t>
    </r>
    <r>
      <rPr>
        <sz val="11"/>
        <rFont val="HG丸ｺﾞｼｯｸM-PRO"/>
        <family val="3"/>
        <charset val="128"/>
      </rPr>
      <t xml:space="preserve"> 各値合計</t>
    </r>
    <phoneticPr fontId="4"/>
  </si>
  <si>
    <r>
      <t xml:space="preserve">外壁 </t>
    </r>
    <r>
      <rPr>
        <b/>
        <sz val="11"/>
        <rFont val="HG丸ｺﾞｼｯｸM-PRO"/>
        <family val="3"/>
        <charset val="128"/>
      </rPr>
      <t>＜南東面＞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</si>
  <si>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＜南東面＞</t>
    </r>
    <r>
      <rPr>
        <sz val="11"/>
        <rFont val="HG丸ｺﾞｼｯｸM-PRO"/>
        <family val="3"/>
        <charset val="128"/>
      </rPr>
      <t xml:space="preserve"> 計算結果</t>
    </r>
    <rPh sb="2" eb="4">
      <t>ジュウタク</t>
    </rPh>
    <rPh sb="11" eb="13">
      <t>ケイサン</t>
    </rPh>
    <rPh sb="13" eb="15">
      <t>ケッカ</t>
    </rPh>
    <phoneticPr fontId="4"/>
  </si>
  <si>
    <t>Ver2.1</t>
    <phoneticPr fontId="4"/>
  </si>
  <si>
    <t>一部方位、冷房期取得日射熱補正係数に関する修正</t>
    <rPh sb="0" eb="2">
      <t>イチブ</t>
    </rPh>
    <rPh sb="2" eb="4">
      <t>ホウイ</t>
    </rPh>
    <phoneticPr fontId="4"/>
  </si>
  <si>
    <t>2）</t>
    <phoneticPr fontId="4"/>
  </si>
  <si>
    <t>シートB（屋根・天井・床等）</t>
    <phoneticPr fontId="4"/>
  </si>
  <si>
    <t>天窓の冷房期、暖房期取得日射熱補正係数に関する不具合の修正</t>
    <phoneticPr fontId="4"/>
  </si>
  <si>
    <t>シートC（基礎壁、基礎等）</t>
    <phoneticPr fontId="4"/>
  </si>
  <si>
    <t>3）</t>
    <phoneticPr fontId="4"/>
  </si>
  <si>
    <t>シートA（方位別計算）</t>
    <phoneticPr fontId="4"/>
  </si>
  <si>
    <t>付属部材による補正熱貫流率に関する修正</t>
    <phoneticPr fontId="4"/>
  </si>
  <si>
    <t>天窓における付属部材による補正熱貫流率に関する修正</t>
    <phoneticPr fontId="4"/>
  </si>
  <si>
    <t>【付録】</t>
    <rPh sb="1" eb="3">
      <t>フロク</t>
    </rPh>
    <phoneticPr fontId="4"/>
  </si>
  <si>
    <t>断熱材
熱抵抗
Ｒ１</t>
    <rPh sb="0" eb="3">
      <t>ダンネツザイ</t>
    </rPh>
    <rPh sb="4" eb="5">
      <t>ネツ</t>
    </rPh>
    <rPh sb="5" eb="7">
      <t>テイコウ</t>
    </rPh>
    <phoneticPr fontId="4"/>
  </si>
  <si>
    <t>断熱材
熱抵抗
Ｒ２</t>
    <rPh sb="0" eb="3">
      <t>ダンネツザイ</t>
    </rPh>
    <rPh sb="4" eb="5">
      <t>ネツ</t>
    </rPh>
    <rPh sb="5" eb="7">
      <t>テイコウ</t>
    </rPh>
    <phoneticPr fontId="4"/>
  </si>
  <si>
    <t>断熱材
熱抵抗
Ｒ３</t>
    <rPh sb="0" eb="3">
      <t>ダンネツザイ</t>
    </rPh>
    <rPh sb="4" eb="5">
      <t>ネツ</t>
    </rPh>
    <rPh sb="5" eb="7">
      <t>テイコウ</t>
    </rPh>
    <phoneticPr fontId="4"/>
  </si>
  <si>
    <t>断熱材
熱抵抗
Ｒ４</t>
    <rPh sb="0" eb="3">
      <t>ダンネツザイ</t>
    </rPh>
    <rPh sb="4" eb="5">
      <t>ネツ</t>
    </rPh>
    <rPh sb="5" eb="7">
      <t>テイコウ</t>
    </rPh>
    <phoneticPr fontId="4"/>
  </si>
  <si>
    <t>基礎高
Ｈ１</t>
    <rPh sb="0" eb="2">
      <t>キソ</t>
    </rPh>
    <rPh sb="2" eb="3">
      <t>タカ</t>
    </rPh>
    <phoneticPr fontId="4"/>
  </si>
  <si>
    <t>底盤高
Ｈ２</t>
    <rPh sb="0" eb="1">
      <t>テイ</t>
    </rPh>
    <rPh sb="1" eb="2">
      <t>バン</t>
    </rPh>
    <rPh sb="2" eb="3">
      <t>タカ</t>
    </rPh>
    <phoneticPr fontId="4"/>
  </si>
  <si>
    <t>断熱材
根入れ
Ｗ１</t>
    <rPh sb="0" eb="3">
      <t>ダンネツザイ</t>
    </rPh>
    <rPh sb="4" eb="5">
      <t>ネ</t>
    </rPh>
    <rPh sb="5" eb="6">
      <t>イ</t>
    </rPh>
    <phoneticPr fontId="4"/>
  </si>
  <si>
    <t>断熱材
折返し
Ｗ２</t>
    <rPh sb="0" eb="3">
      <t>ダンネツザイ</t>
    </rPh>
    <rPh sb="4" eb="6">
      <t>オリカエ</t>
    </rPh>
    <phoneticPr fontId="4"/>
  </si>
  <si>
    <t>断熱材
折返し
Ｗ３</t>
    <rPh sb="0" eb="3">
      <t>ダンネツザイ</t>
    </rPh>
    <rPh sb="4" eb="6">
      <t>オリカエ</t>
    </rPh>
    <phoneticPr fontId="4"/>
  </si>
  <si>
    <t>適　用
計算式
番　号</t>
    <rPh sb="0" eb="1">
      <t>テキ</t>
    </rPh>
    <rPh sb="2" eb="3">
      <t>ヨウ</t>
    </rPh>
    <rPh sb="4" eb="6">
      <t>ケイサン</t>
    </rPh>
    <rPh sb="6" eb="7">
      <t>シキ</t>
    </rPh>
    <rPh sb="8" eb="9">
      <t>バン</t>
    </rPh>
    <rPh sb="10" eb="11">
      <t>ゴウ</t>
    </rPh>
    <phoneticPr fontId="4"/>
  </si>
  <si>
    <t>H1≦0.4</t>
    <phoneticPr fontId="4"/>
  </si>
  <si>
    <t>（１）</t>
    <phoneticPr fontId="4"/>
  </si>
  <si>
    <t>W≦0.9</t>
    <phoneticPr fontId="4"/>
  </si>
  <si>
    <t>（３）</t>
    <phoneticPr fontId="4"/>
  </si>
  <si>
    <t>（３）１</t>
    <phoneticPr fontId="4"/>
  </si>
  <si>
    <t>（３）２</t>
    <phoneticPr fontId="4"/>
  </si>
  <si>
    <t>　注１：上記各部の寸法は下図の寸法等（長さｍ、熱抵抗㎡K/W）を入力して下さい。</t>
    <rPh sb="1" eb="2">
      <t>チュウ</t>
    </rPh>
    <rPh sb="4" eb="6">
      <t>ジョウキ</t>
    </rPh>
    <rPh sb="6" eb="8">
      <t>カクブ</t>
    </rPh>
    <rPh sb="9" eb="11">
      <t>スンポウ</t>
    </rPh>
    <rPh sb="12" eb="14">
      <t>カズ</t>
    </rPh>
    <rPh sb="15" eb="17">
      <t>スンポウ</t>
    </rPh>
    <rPh sb="17" eb="18">
      <t>トウ</t>
    </rPh>
    <rPh sb="19" eb="20">
      <t>ナガ</t>
    </rPh>
    <rPh sb="23" eb="24">
      <t>ネツ</t>
    </rPh>
    <rPh sb="24" eb="26">
      <t>テイコウ</t>
    </rPh>
    <rPh sb="32" eb="34">
      <t>ニュウリョク</t>
    </rPh>
    <rPh sb="36" eb="37">
      <t>クダ</t>
    </rPh>
    <phoneticPr fontId="4"/>
  </si>
  <si>
    <t>新旧</t>
    <rPh sb="0" eb="2">
      <t>シンキュウ</t>
    </rPh>
    <phoneticPr fontId="21"/>
  </si>
  <si>
    <t>はじめにどちらかをご選択ください→</t>
    <phoneticPr fontId="21"/>
  </si>
  <si>
    <t>新計算法</t>
    <rPh sb="0" eb="1">
      <t>シン</t>
    </rPh>
    <rPh sb="1" eb="4">
      <t>ケイサンホウ</t>
    </rPh>
    <phoneticPr fontId="21"/>
  </si>
  <si>
    <t>旧計算法</t>
    <rPh sb="0" eb="1">
      <t>キュウ</t>
    </rPh>
    <rPh sb="1" eb="4">
      <t>ケイサンホウ</t>
    </rPh>
    <phoneticPr fontId="21"/>
  </si>
  <si>
    <t>※3）において温度差係数を分けて計算する場合、上表は分けて入力して下さい。その際、面積は重複しないように片方のみを入力して下さい。</t>
    <rPh sb="13" eb="14">
      <t>ワ</t>
    </rPh>
    <rPh sb="16" eb="18">
      <t>ケイサン</t>
    </rPh>
    <phoneticPr fontId="4"/>
  </si>
  <si>
    <t>4）</t>
    <phoneticPr fontId="4"/>
  </si>
  <si>
    <t>シート【付録】</t>
    <rPh sb="4" eb="6">
      <t>フロク</t>
    </rPh>
    <phoneticPr fontId="4"/>
  </si>
  <si>
    <t>新規追加（旧基礎計算のための対応）</t>
    <rPh sb="0" eb="4">
      <t>シンキツイカ</t>
    </rPh>
    <rPh sb="5" eb="6">
      <t>キュウ</t>
    </rPh>
    <rPh sb="6" eb="8">
      <t>キソ</t>
    </rPh>
    <rPh sb="8" eb="10">
      <t>ケイサン</t>
    </rPh>
    <rPh sb="14" eb="16">
      <t>タイオウ</t>
    </rPh>
    <phoneticPr fontId="4"/>
  </si>
  <si>
    <r>
      <t>m</t>
    </r>
    <r>
      <rPr>
        <vertAlign val="subscript"/>
        <sz val="11"/>
        <rFont val="ＭＳ Ｐゴシック"/>
        <family val="3"/>
        <charset val="128"/>
      </rPr>
      <t>h</t>
    </r>
    <phoneticPr fontId="4"/>
  </si>
  <si>
    <r>
      <t>m</t>
    </r>
    <r>
      <rPr>
        <vertAlign val="subscript"/>
        <sz val="11"/>
        <rFont val="ＭＳ Ｐゴシック"/>
        <family val="3"/>
        <charset val="128"/>
      </rPr>
      <t>c</t>
    </r>
    <phoneticPr fontId="4"/>
  </si>
  <si>
    <t>q</t>
    <phoneticPr fontId="4"/>
  </si>
  <si>
    <t>リンクセル</t>
    <phoneticPr fontId="4"/>
  </si>
  <si>
    <t>等級5</t>
    <phoneticPr fontId="4"/>
  </si>
  <si>
    <r>
      <t>η</t>
    </r>
    <r>
      <rPr>
        <vertAlign val="subscript"/>
        <sz val="11"/>
        <rFont val="ＭＳ Ｐゴシック"/>
        <family val="3"/>
        <charset val="128"/>
      </rPr>
      <t>AC</t>
    </r>
    <phoneticPr fontId="4"/>
  </si>
  <si>
    <r>
      <t>Ｕ</t>
    </r>
    <r>
      <rPr>
        <vertAlign val="subscript"/>
        <sz val="11"/>
        <rFont val="ＭＳ Ｐゴシック"/>
        <family val="3"/>
        <charset val="128"/>
      </rPr>
      <t>A</t>
    </r>
    <phoneticPr fontId="4"/>
  </si>
  <si>
    <t>等級５</t>
    <rPh sb="0" eb="2">
      <t>トウキュウ</t>
    </rPh>
    <phoneticPr fontId="4"/>
  </si>
  <si>
    <t>シート共通条件・結果</t>
    <rPh sb="3" eb="7">
      <t>キョウツウジョウケン</t>
    </rPh>
    <rPh sb="8" eb="10">
      <t>ケッカ</t>
    </rPh>
    <phoneticPr fontId="4"/>
  </si>
  <si>
    <t>等級5対応</t>
    <rPh sb="0" eb="2">
      <t>トウキュウ</t>
    </rPh>
    <rPh sb="3" eb="5">
      <t>タイオウ</t>
    </rPh>
    <phoneticPr fontId="4"/>
  </si>
  <si>
    <r>
      <t xml:space="preserve">ドア </t>
    </r>
    <r>
      <rPr>
        <b/>
        <sz val="11"/>
        <rFont val="HG丸ｺﾞｼｯｸM-PRO"/>
        <family val="3"/>
        <charset val="128"/>
      </rPr>
      <t>＜北面＞</t>
    </r>
    <r>
      <rPr>
        <sz val="11"/>
        <rFont val="HG丸ｺﾞｼｯｸM-PRO"/>
        <family val="3"/>
        <charset val="128"/>
      </rPr>
      <t xml:space="preserve"> 各値合計</t>
    </r>
    <rPh sb="4" eb="5">
      <t>キタ</t>
    </rPh>
    <phoneticPr fontId="4"/>
  </si>
  <si>
    <r>
      <t xml:space="preserve">ドア </t>
    </r>
    <r>
      <rPr>
        <b/>
        <sz val="11"/>
        <rFont val="HG丸ｺﾞｼｯｸM-PRO"/>
        <family val="3"/>
        <charset val="128"/>
      </rPr>
      <t>＜東面＞</t>
    </r>
    <r>
      <rPr>
        <sz val="11"/>
        <rFont val="HG丸ｺﾞｼｯｸM-PRO"/>
        <family val="3"/>
        <charset val="128"/>
      </rPr>
      <t xml:space="preserve"> 各値合計</t>
    </r>
    <phoneticPr fontId="4"/>
  </si>
  <si>
    <t>　注１：本計算シートの計算方法は、（国研）建築研究所が示す外皮性能の計算方法を原則遵守しています。</t>
    <rPh sb="1" eb="2">
      <t>チュウ</t>
    </rPh>
    <rPh sb="4" eb="5">
      <t>ホン</t>
    </rPh>
    <rPh sb="5" eb="7">
      <t>ケイサン</t>
    </rPh>
    <rPh sb="11" eb="13">
      <t>ケイサン</t>
    </rPh>
    <rPh sb="13" eb="15">
      <t>ホウホウ</t>
    </rPh>
    <rPh sb="18" eb="19">
      <t>クニ</t>
    </rPh>
    <rPh sb="19" eb="20">
      <t>ケン</t>
    </rPh>
    <rPh sb="21" eb="23">
      <t>ケンチク</t>
    </rPh>
    <rPh sb="23" eb="26">
      <t>ケンキュウジョ</t>
    </rPh>
    <rPh sb="27" eb="28">
      <t>シメ</t>
    </rPh>
    <rPh sb="29" eb="31">
      <t>ガイヒ</t>
    </rPh>
    <rPh sb="31" eb="33">
      <t>セイノウ</t>
    </rPh>
    <rPh sb="34" eb="36">
      <t>ケイサン</t>
    </rPh>
    <rPh sb="36" eb="38">
      <t>ホウホウ</t>
    </rPh>
    <rPh sb="39" eb="41">
      <t>ゲンソク</t>
    </rPh>
    <rPh sb="41" eb="43">
      <t>ジュンシュ</t>
    </rPh>
    <phoneticPr fontId="4"/>
  </si>
  <si>
    <t>新旧計算の選択、入力可能欄の追加対応、説明の追記</t>
    <rPh sb="0" eb="2">
      <t>シンキュウ</t>
    </rPh>
    <rPh sb="2" eb="4">
      <t>ケイサン</t>
    </rPh>
    <rPh sb="5" eb="7">
      <t>センタク</t>
    </rPh>
    <rPh sb="8" eb="10">
      <t>ニュウリョク</t>
    </rPh>
    <rPh sb="10" eb="13">
      <t>カノウラン</t>
    </rPh>
    <rPh sb="14" eb="16">
      <t>ツイカ</t>
    </rPh>
    <rPh sb="16" eb="18">
      <t>タイオウ</t>
    </rPh>
    <rPh sb="19" eb="21">
      <t>セツメイ</t>
    </rPh>
    <rPh sb="22" eb="24">
      <t>ツイキ</t>
    </rPh>
    <phoneticPr fontId="4"/>
  </si>
  <si>
    <t>5）</t>
    <phoneticPr fontId="4"/>
  </si>
  <si>
    <t>天窓の暖房期日射熱取得量に関する不具合の修正</t>
    <phoneticPr fontId="4"/>
  </si>
  <si>
    <t>庇による補正計算に関する不具合の修正</t>
    <rPh sb="4" eb="8">
      <t>ホセイケイサン</t>
    </rPh>
    <rPh sb="9" eb="10">
      <t>カン</t>
    </rPh>
    <rPh sb="12" eb="15">
      <t>フグアイ</t>
    </rPh>
    <rPh sb="16" eb="18">
      <t>シュウセイ</t>
    </rPh>
    <phoneticPr fontId="4"/>
  </si>
  <si>
    <t>2）土間等の外周長さと線熱貫流率の入力</t>
    <phoneticPr fontId="21"/>
  </si>
  <si>
    <t>1）土間床等の面積の入力</t>
    <rPh sb="2" eb="4">
      <t>ドマ</t>
    </rPh>
    <rPh sb="4" eb="5">
      <t>ユカ</t>
    </rPh>
    <rPh sb="5" eb="6">
      <t>トウ</t>
    </rPh>
    <rPh sb="7" eb="9">
      <t>メンセキ</t>
    </rPh>
    <rPh sb="10" eb="12">
      <t>ニュウリョク</t>
    </rPh>
    <phoneticPr fontId="4"/>
  </si>
  <si>
    <t>Ver2.2</t>
    <phoneticPr fontId="4"/>
  </si>
  <si>
    <t>Ver2.3</t>
    <phoneticPr fontId="4"/>
  </si>
  <si>
    <t>旧計算時の基礎壁入力の適用、図の挿入</t>
    <rPh sb="0" eb="3">
      <t>キュウケイサン</t>
    </rPh>
    <rPh sb="3" eb="4">
      <t>ジ</t>
    </rPh>
    <rPh sb="5" eb="7">
      <t>キソ</t>
    </rPh>
    <rPh sb="7" eb="8">
      <t>カベ</t>
    </rPh>
    <rPh sb="8" eb="10">
      <t>ニュウリョク</t>
    </rPh>
    <rPh sb="11" eb="13">
      <t>テキヨウ</t>
    </rPh>
    <rPh sb="14" eb="15">
      <t>ズ</t>
    </rPh>
    <rPh sb="16" eb="18">
      <t>ソウニュウ</t>
    </rPh>
    <phoneticPr fontId="4"/>
  </si>
  <si>
    <t>等級7</t>
    <rPh sb="0" eb="2">
      <t>トウキュウ</t>
    </rPh>
    <phoneticPr fontId="4"/>
  </si>
  <si>
    <t>等級6</t>
    <rPh sb="0" eb="2">
      <t>トウキュウ</t>
    </rPh>
    <phoneticPr fontId="4"/>
  </si>
  <si>
    <t>-</t>
    <phoneticPr fontId="4"/>
  </si>
  <si>
    <t>リンク規約</t>
    <rPh sb="3" eb="5">
      <t>キヤク</t>
    </rPh>
    <phoneticPr fontId="4"/>
  </si>
  <si>
    <t>等級7</t>
    <phoneticPr fontId="4"/>
  </si>
  <si>
    <t>Ver2.4</t>
    <phoneticPr fontId="4"/>
  </si>
  <si>
    <t>等級6,7対応</t>
    <rPh sb="0" eb="2">
      <t>トウキュウ</t>
    </rPh>
    <rPh sb="5" eb="7">
      <t>タイオウ</t>
    </rPh>
    <phoneticPr fontId="4"/>
  </si>
  <si>
    <t>シート共通条件・結果</t>
    <phoneticPr fontId="4"/>
  </si>
  <si>
    <t>2)計算結果の表示形式の修正</t>
    <rPh sb="2" eb="6">
      <t>ケイサンケッカ</t>
    </rPh>
    <rPh sb="7" eb="11">
      <t>ヒョウジケイシキ</t>
    </rPh>
    <rPh sb="12" eb="14">
      <t>シュウセイ</t>
    </rPh>
    <phoneticPr fontId="4"/>
  </si>
  <si>
    <t>等級3</t>
    <rPh sb="0" eb="2">
      <t>トウキュウ</t>
    </rPh>
    <phoneticPr fontId="4"/>
  </si>
  <si>
    <t>入力責任者：</t>
    <phoneticPr fontId="4"/>
  </si>
  <si>
    <t>Ver2.5</t>
    <phoneticPr fontId="4"/>
  </si>
  <si>
    <t>このシートは、内訳計算シートCにて旧計算法を選択した場合に、２）の線熱貫流率へ入力する値を計算する為のシートです。
算出された線熱貫流率は、内訳計算シートCに転記をしてください。</t>
    <rPh sb="7" eb="9">
      <t>ウチワケ</t>
    </rPh>
    <rPh sb="9" eb="11">
      <t>ケイサン</t>
    </rPh>
    <rPh sb="17" eb="18">
      <t>キュウ</t>
    </rPh>
    <rPh sb="18" eb="21">
      <t>ケイサンホウ</t>
    </rPh>
    <rPh sb="22" eb="24">
      <t>センタク</t>
    </rPh>
    <rPh sb="26" eb="28">
      <t>バアイ</t>
    </rPh>
    <rPh sb="33" eb="34">
      <t>セン</t>
    </rPh>
    <rPh sb="34" eb="38">
      <t>ネツカン</t>
    </rPh>
    <rPh sb="39" eb="41">
      <t>ニュウリョク</t>
    </rPh>
    <rPh sb="43" eb="44">
      <t>アタイ</t>
    </rPh>
    <rPh sb="45" eb="47">
      <t>ケイサン</t>
    </rPh>
    <rPh sb="49" eb="50">
      <t>タメ</t>
    </rPh>
    <phoneticPr fontId="31"/>
  </si>
  <si>
    <t>共通条件・結果</t>
    <rPh sb="0" eb="2">
      <t>キョウツウ</t>
    </rPh>
    <rPh sb="2" eb="4">
      <t>ジョウケン</t>
    </rPh>
    <rPh sb="5" eb="7">
      <t>ケッカ</t>
    </rPh>
    <phoneticPr fontId="4"/>
  </si>
  <si>
    <t>入力責任者欄追加</t>
    <rPh sb="0" eb="2">
      <t>ニュウリョク</t>
    </rPh>
    <rPh sb="2" eb="5">
      <t>セキニンシャ</t>
    </rPh>
    <rPh sb="5" eb="6">
      <t>ラン</t>
    </rPh>
    <rPh sb="6" eb="8">
      <t>ツイカ</t>
    </rPh>
    <phoneticPr fontId="4"/>
  </si>
  <si>
    <t>省エネ基準明記</t>
    <rPh sb="0" eb="1">
      <t>ショウ</t>
    </rPh>
    <rPh sb="3" eb="5">
      <t>キジュン</t>
    </rPh>
    <rPh sb="5" eb="7">
      <t>メイキ</t>
    </rPh>
    <phoneticPr fontId="4"/>
  </si>
  <si>
    <t>基礎壁の入力箇所修正</t>
    <rPh sb="0" eb="2">
      <t>キソ</t>
    </rPh>
    <rPh sb="2" eb="3">
      <t>カベ</t>
    </rPh>
    <rPh sb="4" eb="6">
      <t>ニュウリョク</t>
    </rPh>
    <rPh sb="6" eb="8">
      <t>カショ</t>
    </rPh>
    <rPh sb="8" eb="10">
      <t>シュウセイ</t>
    </rPh>
    <phoneticPr fontId="4"/>
  </si>
  <si>
    <t>シートC（基礎）</t>
    <rPh sb="5" eb="7">
      <t>キソ</t>
    </rPh>
    <phoneticPr fontId="4"/>
  </si>
  <si>
    <t>シートA（方位別計算）、【付録】</t>
    <rPh sb="5" eb="7">
      <t>ホウイ</t>
    </rPh>
    <rPh sb="7" eb="8">
      <t>ベツ</t>
    </rPh>
    <rPh sb="8" eb="10">
      <t>ケイサン</t>
    </rPh>
    <rPh sb="13" eb="15">
      <t>フロク</t>
    </rPh>
    <phoneticPr fontId="4"/>
  </si>
  <si>
    <t>旧計算法の廃止時期を明記</t>
    <rPh sb="0" eb="1">
      <t>キュウ</t>
    </rPh>
    <rPh sb="1" eb="3">
      <t>ケイサン</t>
    </rPh>
    <rPh sb="3" eb="4">
      <t>ホウ</t>
    </rPh>
    <rPh sb="5" eb="7">
      <t>ハイシ</t>
    </rPh>
    <rPh sb="7" eb="9">
      <t>ジキ</t>
    </rPh>
    <rPh sb="10" eb="12">
      <t>メイキ</t>
    </rPh>
    <phoneticPr fontId="4"/>
  </si>
  <si>
    <t>外皮計算書についてのQ&amp;A</t>
    <rPh sb="0" eb="2">
      <t>ガイヒ</t>
    </rPh>
    <rPh sb="2" eb="5">
      <t>ケイサンショ</t>
    </rPh>
    <phoneticPr fontId="4"/>
  </si>
  <si>
    <t>シート名修正、内容修正</t>
    <rPh sb="3" eb="4">
      <t>メイ</t>
    </rPh>
    <rPh sb="4" eb="6">
      <t>シュウセイ</t>
    </rPh>
    <rPh sb="7" eb="9">
      <t>ナイヨウ</t>
    </rPh>
    <rPh sb="9" eb="11">
      <t>シュウセイ</t>
    </rPh>
    <phoneticPr fontId="4"/>
  </si>
  <si>
    <t>平均熱貫流率小数点以下2位の0を表記</t>
    <rPh sb="0" eb="2">
      <t>ヘイキン</t>
    </rPh>
    <rPh sb="2" eb="3">
      <t>ネツ</t>
    </rPh>
    <rPh sb="3" eb="5">
      <t>カンリュウ</t>
    </rPh>
    <rPh sb="5" eb="6">
      <t>リツ</t>
    </rPh>
    <rPh sb="6" eb="9">
      <t>ショウスウテン</t>
    </rPh>
    <rPh sb="9" eb="11">
      <t>イカ</t>
    </rPh>
    <rPh sb="12" eb="13">
      <t>イ</t>
    </rPh>
    <rPh sb="16" eb="18">
      <t>ヒョウキ</t>
    </rPh>
    <phoneticPr fontId="4"/>
  </si>
  <si>
    <t>6）</t>
    <phoneticPr fontId="4"/>
  </si>
  <si>
    <t>3）基礎壁の入力</t>
    <rPh sb="2" eb="4">
      <t>キソ</t>
    </rPh>
    <rPh sb="4" eb="5">
      <t>カベ</t>
    </rPh>
    <rPh sb="6" eb="8">
      <t>ニュウリョク</t>
    </rPh>
    <phoneticPr fontId="4"/>
  </si>
  <si>
    <t>　注２：Ｈ１の寸法（基礎高さ）は0.4ｍを上限とし、0.4ｍを超える部分は内訳計算シートCで計算して下さい。（外気に接する基礎壁はシートAでも計算可能です。）</t>
    <rPh sb="1" eb="2">
      <t>チュウ</t>
    </rPh>
    <rPh sb="7" eb="9">
      <t>スンポウ</t>
    </rPh>
    <rPh sb="10" eb="12">
      <t>キソ</t>
    </rPh>
    <rPh sb="12" eb="13">
      <t>タカ</t>
    </rPh>
    <rPh sb="21" eb="23">
      <t>ジョウゲン</t>
    </rPh>
    <rPh sb="31" eb="32">
      <t>コ</t>
    </rPh>
    <rPh sb="34" eb="36">
      <t>ブブン</t>
    </rPh>
    <rPh sb="37" eb="39">
      <t>ウチワケ</t>
    </rPh>
    <rPh sb="39" eb="41">
      <t>ケイサン</t>
    </rPh>
    <rPh sb="46" eb="48">
      <t>ケイサン</t>
    </rPh>
    <rPh sb="50" eb="51">
      <t>クダ</t>
    </rPh>
    <rPh sb="55" eb="57">
      <t>ガイキ</t>
    </rPh>
    <rPh sb="58" eb="59">
      <t>セッ</t>
    </rPh>
    <rPh sb="61" eb="63">
      <t>キソ</t>
    </rPh>
    <rPh sb="63" eb="64">
      <t>カベ</t>
    </rPh>
    <rPh sb="71" eb="73">
      <t>ケイサン</t>
    </rPh>
    <rPh sb="73" eb="75">
      <t>カノウ</t>
    </rPh>
    <phoneticPr fontId="4"/>
  </si>
  <si>
    <t>線熱貫流率
[W/(m・K)]</t>
    <rPh sb="0" eb="1">
      <t>セン</t>
    </rPh>
    <rPh sb="1" eb="2">
      <t>ネツ</t>
    </rPh>
    <rPh sb="2" eb="4">
      <t>カンリュウ</t>
    </rPh>
    <rPh sb="4" eb="5">
      <t>リツ</t>
    </rPh>
    <phoneticPr fontId="4"/>
  </si>
  <si>
    <r>
      <t xml:space="preserve">等級４
</t>
    </r>
    <r>
      <rPr>
        <sz val="8"/>
        <color rgb="FFFF0000"/>
        <rFont val="ＭＳ Ｐゴシック"/>
        <family val="3"/>
        <charset val="128"/>
      </rPr>
      <t>(省エネ基準相当)</t>
    </r>
    <rPh sb="5" eb="6">
      <t>ショウ</t>
    </rPh>
    <rPh sb="8" eb="10">
      <t>キジュン</t>
    </rPh>
    <rPh sb="10" eb="12">
      <t>ソウトウ</t>
    </rPh>
    <phoneticPr fontId="4"/>
  </si>
  <si>
    <r>
      <t xml:space="preserve">等級6
</t>
    </r>
    <r>
      <rPr>
        <sz val="8"/>
        <color rgb="FFFF0000"/>
        <rFont val="ＭＳ Ｐゴシック"/>
        <family val="3"/>
        <charset val="128"/>
      </rPr>
      <t>(誘導基準相当)</t>
    </r>
    <rPh sb="5" eb="7">
      <t>ユウドウ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</si>
</sst>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00_ "/>
    <numFmt numFmtId="178" formatCode="0.00_ "/>
    <numFmt numFmtId="179" formatCode="0.0_ "/>
    <numFmt numFmtId="180" formatCode="0.00;_퐀"/>
    <numFmt numFmtId="181" formatCode="0.0_);[Red]\(0.0\)"/>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HG丸ｺﾞｼｯｸM-PRO"/>
      <family val="3"/>
      <charset val="128"/>
    </font>
    <font>
      <b/>
      <sz val="11"/>
      <name val="HG丸ｺﾞｼｯｸM-PRO"/>
      <family val="3"/>
      <charset val="128"/>
    </font>
    <font>
      <sz val="12"/>
      <name val="HG丸ｺﾞｼｯｸM-PRO"/>
      <family val="3"/>
      <charset val="128"/>
    </font>
    <font>
      <sz val="10"/>
      <name val="HG丸ｺﾞｼｯｸM-PRO"/>
      <family val="3"/>
      <charset val="128"/>
    </font>
    <font>
      <sz val="11"/>
      <name val="HG丸ｺﾞｼｯｸM-PRO"/>
      <family val="3"/>
      <charset val="128"/>
    </font>
    <font>
      <sz val="9"/>
      <name val="ＭＳ Ｐゴシック"/>
      <family val="3"/>
      <charset val="128"/>
    </font>
    <font>
      <sz val="14"/>
      <name val="HG丸ｺﾞｼｯｸM-PRO"/>
      <family val="3"/>
      <charset val="128"/>
    </font>
    <font>
      <sz val="10"/>
      <name val="ＭＳ 明朝"/>
      <family val="1"/>
      <charset val="128"/>
    </font>
    <font>
      <b/>
      <sz val="14"/>
      <name val="HG丸ｺﾞｼｯｸM-PRO"/>
      <family val="3"/>
      <charset val="128"/>
    </font>
    <font>
      <sz val="9.5"/>
      <name val="ＭＳ Ｐゴシック"/>
      <family val="3"/>
      <charset val="128"/>
    </font>
    <font>
      <vertAlign val="subscript"/>
      <sz val="10"/>
      <name val="ＭＳ Ｐゴシック"/>
      <family val="3"/>
      <charset val="128"/>
    </font>
    <font>
      <sz val="9"/>
      <color indexed="81"/>
      <name val="ＭＳ Ｐゴシック"/>
      <family val="3"/>
      <charset val="128"/>
    </font>
    <font>
      <sz val="12"/>
      <color rgb="FFFF0000"/>
      <name val="HG丸ｺﾞｼｯｸM-PRO"/>
      <family val="3"/>
      <charset val="128"/>
    </font>
    <font>
      <sz val="10"/>
      <name val="ＭＳ Ｐゴシック"/>
      <family val="3"/>
      <charset val="128"/>
      <scheme val="major"/>
    </font>
    <font>
      <sz val="10"/>
      <name val="ＭＳ Ｐゴシック"/>
      <family val="3"/>
      <charset val="128"/>
      <scheme val="minor"/>
    </font>
    <font>
      <sz val="10"/>
      <color theme="1"/>
      <name val="ＭＳ Ｐゴシック"/>
      <family val="3"/>
      <charset val="128"/>
    </font>
    <font>
      <sz val="10"/>
      <color theme="0"/>
      <name val="ＭＳ Ｐゴシック"/>
      <family val="3"/>
      <charset val="128"/>
    </font>
    <font>
      <sz val="9"/>
      <color indexed="81"/>
      <name val="MS P ゴシック"/>
      <family val="3"/>
      <charset val="128"/>
    </font>
    <font>
      <sz val="10"/>
      <name val="HGPｺﾞｼｯｸM"/>
      <family val="3"/>
      <charset val="128"/>
    </font>
    <font>
      <sz val="10"/>
      <color theme="0" tint="-0.499984740745262"/>
      <name val="HGPｺﾞｼｯｸM"/>
      <family val="3"/>
      <charset val="128"/>
    </font>
    <font>
      <sz val="9"/>
      <color theme="0" tint="-0.499984740745262"/>
      <name val="HG丸ｺﾞｼｯｸM-PRO"/>
      <family val="3"/>
      <charset val="128"/>
    </font>
    <font>
      <sz val="8"/>
      <name val="ＭＳ Ｐゴシック"/>
      <family val="3"/>
      <charset val="128"/>
    </font>
    <font>
      <sz val="10"/>
      <color rgb="FFFF0000"/>
      <name val="ＭＳ Ｐゴシック"/>
      <family val="3"/>
      <charset val="128"/>
    </font>
    <font>
      <b/>
      <sz val="12"/>
      <name val="ＭＳ Ｐゴシック"/>
      <family val="3"/>
      <charset val="128"/>
    </font>
    <font>
      <b/>
      <sz val="12"/>
      <color rgb="FFFF0000"/>
      <name val="ＭＳ Ｐゴシック"/>
      <family val="3"/>
      <charset val="128"/>
    </font>
    <font>
      <sz val="6"/>
      <name val="ＭＳ Ｐゴシック"/>
      <family val="3"/>
      <charset val="128"/>
      <scheme val="minor"/>
    </font>
    <font>
      <sz val="12"/>
      <color rgb="FFFF0000"/>
      <name val="ＭＳ Ｐゴシック"/>
      <family val="3"/>
      <charset val="128"/>
    </font>
    <font>
      <b/>
      <sz val="10"/>
      <name val="HG丸ｺﾞｼｯｸM-PRO"/>
      <family val="3"/>
      <charset val="128"/>
    </font>
    <font>
      <b/>
      <sz val="10"/>
      <color rgb="FFFF0000"/>
      <name val="ＭＳ Ｐゴシック"/>
      <family val="3"/>
      <charset val="128"/>
    </font>
    <font>
      <b/>
      <sz val="10"/>
      <color rgb="FFFF0000"/>
      <name val="HG丸ｺﾞｼｯｸM-PRO"/>
      <family val="3"/>
      <charset val="128"/>
    </font>
    <font>
      <vertAlign val="subscript"/>
      <sz val="11"/>
      <name val="ＭＳ Ｐゴシック"/>
      <family val="3"/>
      <charset val="128"/>
    </font>
    <font>
      <sz val="11"/>
      <color theme="0" tint="-0.249977111117893"/>
      <name val="ＭＳ Ｐゴシック"/>
      <family val="3"/>
      <charset val="128"/>
    </font>
    <font>
      <sz val="9"/>
      <color rgb="FF000000"/>
      <name val="MS UI Gothic"/>
      <family val="3"/>
      <charset val="128"/>
    </font>
    <font>
      <sz val="8"/>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66"/>
        <bgColor indexed="64"/>
      </patternFill>
    </fill>
    <fill>
      <patternFill patternType="solid">
        <fgColor rgb="FFFFFFCC"/>
        <bgColor indexed="64"/>
      </patternFill>
    </fill>
    <fill>
      <patternFill patternType="solid">
        <fgColor rgb="FFFFC000"/>
        <bgColor indexed="64"/>
      </patternFill>
    </fill>
  </fills>
  <borders count="134">
    <border>
      <left/>
      <right/>
      <top/>
      <bottom/>
      <diagonal/>
    </border>
    <border>
      <left/>
      <right/>
      <top/>
      <bottom style="hair">
        <color indexed="64"/>
      </bottom>
      <diagonal/>
    </border>
    <border>
      <left style="hair">
        <color indexed="64"/>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medium">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38" fontId="3" fillId="0" borderId="0" applyFont="0" applyFill="0" applyBorder="0" applyAlignment="0" applyProtection="0"/>
    <xf numFmtId="0" fontId="13" fillId="0" borderId="0"/>
    <xf numFmtId="0" fontId="2" fillId="0" borderId="0">
      <alignment vertical="center"/>
    </xf>
    <xf numFmtId="0" fontId="2" fillId="0" borderId="0">
      <alignment vertical="center"/>
    </xf>
    <xf numFmtId="0" fontId="3" fillId="0" borderId="0"/>
    <xf numFmtId="0" fontId="1" fillId="0" borderId="0">
      <alignment vertical="center"/>
    </xf>
    <xf numFmtId="0" fontId="1" fillId="0" borderId="0">
      <alignment vertical="center"/>
    </xf>
  </cellStyleXfs>
  <cellXfs count="549">
    <xf numFmtId="0" fontId="0" fillId="0" borderId="0" xfId="0"/>
    <xf numFmtId="0" fontId="0" fillId="0" borderId="0" xfId="0" applyAlignment="1">
      <alignment vertical="center"/>
    </xf>
    <xf numFmtId="0" fontId="5" fillId="0" borderId="0" xfId="0" applyFont="1" applyAlignment="1">
      <alignment vertical="center"/>
    </xf>
    <xf numFmtId="0" fontId="5" fillId="0" borderId="0" xfId="0" applyFont="1"/>
    <xf numFmtId="0" fontId="10"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11" fillId="0" borderId="6" xfId="0" applyFont="1" applyBorder="1" applyAlignment="1">
      <alignment horizontal="righ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2" fontId="8" fillId="0" borderId="0" xfId="1" applyNumberFormat="1" applyFont="1" applyBorder="1" applyAlignment="1">
      <alignment horizontal="right" vertical="center"/>
    </xf>
    <xf numFmtId="2" fontId="0" fillId="0" borderId="0" xfId="1" applyNumberFormat="1" applyFont="1" applyBorder="1"/>
    <xf numFmtId="0" fontId="5" fillId="2" borderId="13" xfId="0" applyFont="1" applyFill="1" applyBorder="1" applyAlignment="1">
      <alignment vertical="center"/>
    </xf>
    <xf numFmtId="0" fontId="5" fillId="2" borderId="14" xfId="0" applyFont="1" applyFill="1" applyBorder="1" applyAlignment="1">
      <alignment vertical="center"/>
    </xf>
    <xf numFmtId="2" fontId="10"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shrinkToFit="1"/>
    </xf>
    <xf numFmtId="0" fontId="5" fillId="0" borderId="29" xfId="0" applyFont="1" applyBorder="1" applyAlignment="1">
      <alignment vertical="center" shrinkToFit="1"/>
    </xf>
    <xf numFmtId="0" fontId="5" fillId="0" borderId="29" xfId="0" applyFont="1" applyBorder="1" applyAlignment="1">
      <alignment vertical="center" wrapText="1"/>
    </xf>
    <xf numFmtId="0" fontId="5" fillId="0" borderId="0" xfId="0" applyFont="1" applyAlignment="1">
      <alignment vertical="center" wrapText="1"/>
    </xf>
    <xf numFmtId="179" fontId="5" fillId="0" borderId="0" xfId="0" applyNumberFormat="1" applyFont="1" applyAlignment="1">
      <alignment vertical="center"/>
    </xf>
    <xf numFmtId="179" fontId="5" fillId="0" borderId="0" xfId="0" applyNumberFormat="1" applyFont="1"/>
    <xf numFmtId="2" fontId="8" fillId="0" borderId="0" xfId="0" applyNumberFormat="1" applyFont="1" applyAlignment="1">
      <alignment horizontal="center" vertical="center"/>
    </xf>
    <xf numFmtId="0" fontId="5" fillId="0" borderId="29" xfId="0" applyFont="1" applyBorder="1" applyAlignment="1">
      <alignment vertical="center"/>
    </xf>
    <xf numFmtId="0" fontId="5" fillId="0" borderId="29" xfId="0" applyFont="1" applyBorder="1" applyAlignment="1">
      <alignment horizontal="center" vertical="center"/>
    </xf>
    <xf numFmtId="0" fontId="10" fillId="0" borderId="29" xfId="0" applyFont="1" applyBorder="1" applyAlignment="1">
      <alignment vertical="center"/>
    </xf>
    <xf numFmtId="0" fontId="0" fillId="0" borderId="0" xfId="0" applyAlignment="1">
      <alignment horizontal="center" vertical="center"/>
    </xf>
    <xf numFmtId="0" fontId="8" fillId="0" borderId="0" xfId="1" applyNumberFormat="1" applyFont="1" applyFill="1" applyBorder="1" applyAlignment="1">
      <alignment vertical="center"/>
    </xf>
    <xf numFmtId="178" fontId="5" fillId="0" borderId="5" xfId="0" applyNumberFormat="1" applyFont="1" applyBorder="1" applyAlignment="1">
      <alignment vertical="center"/>
    </xf>
    <xf numFmtId="178" fontId="11" fillId="0" borderId="5" xfId="0" applyNumberFormat="1" applyFont="1" applyBorder="1" applyAlignment="1">
      <alignment vertical="center"/>
    </xf>
    <xf numFmtId="178" fontId="11" fillId="0" borderId="15" xfId="0" applyNumberFormat="1" applyFont="1" applyBorder="1" applyAlignment="1">
      <alignment vertical="center"/>
    </xf>
    <xf numFmtId="178" fontId="5" fillId="0" borderId="13" xfId="0" applyNumberFormat="1" applyFont="1" applyBorder="1" applyAlignment="1">
      <alignment vertical="center"/>
    </xf>
    <xf numFmtId="178" fontId="5" fillId="0" borderId="14" xfId="0" applyNumberFormat="1" applyFont="1" applyBorder="1" applyAlignment="1">
      <alignmen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9" xfId="0" applyFont="1" applyBorder="1" applyAlignment="1">
      <alignment vertical="center" wrapText="1"/>
    </xf>
    <xf numFmtId="0" fontId="5" fillId="0" borderId="120" xfId="0" applyFont="1" applyBorder="1" applyAlignment="1">
      <alignment vertical="center" wrapText="1"/>
    </xf>
    <xf numFmtId="0" fontId="5" fillId="0" borderId="13" xfId="0" applyFont="1" applyBorder="1" applyAlignment="1">
      <alignment vertical="center"/>
    </xf>
    <xf numFmtId="0" fontId="5" fillId="0" borderId="0" xfId="0" applyFont="1" applyAlignment="1">
      <alignment horizontal="right" vertical="center"/>
    </xf>
    <xf numFmtId="0" fontId="5" fillId="0" borderId="6" xfId="0" applyFont="1" applyBorder="1" applyAlignment="1">
      <alignment vertical="center" wrapText="1"/>
    </xf>
    <xf numFmtId="0" fontId="11" fillId="0" borderId="6" xfId="0" applyFont="1" applyBorder="1" applyAlignment="1">
      <alignment vertical="top"/>
    </xf>
    <xf numFmtId="0" fontId="11" fillId="0" borderId="5" xfId="0" applyFont="1" applyBorder="1" applyAlignment="1">
      <alignment vertical="center"/>
    </xf>
    <xf numFmtId="0" fontId="11" fillId="0" borderId="15" xfId="0" applyFont="1" applyBorder="1" applyAlignment="1">
      <alignment vertical="center"/>
    </xf>
    <xf numFmtId="0" fontId="5" fillId="0" borderId="30" xfId="0" applyFont="1" applyBorder="1" applyAlignment="1">
      <alignment vertical="center"/>
    </xf>
    <xf numFmtId="0" fontId="5" fillId="0" borderId="18" xfId="0" applyFont="1" applyBorder="1" applyAlignment="1">
      <alignment horizontal="center" vertical="center" wrapText="1"/>
    </xf>
    <xf numFmtId="0" fontId="5" fillId="0" borderId="18" xfId="0" applyFont="1" applyBorder="1" applyAlignment="1">
      <alignment horizontal="center" vertical="center"/>
    </xf>
    <xf numFmtId="0" fontId="5" fillId="0" borderId="0" xfId="0" applyFont="1" applyAlignment="1">
      <alignment horizontal="center" vertical="center" wrapText="1"/>
    </xf>
    <xf numFmtId="0" fontId="5" fillId="0" borderId="84" xfId="0" applyFont="1" applyBorder="1" applyAlignment="1">
      <alignment vertical="center" wrapText="1"/>
    </xf>
    <xf numFmtId="0" fontId="5" fillId="0" borderId="49" xfId="0" applyFont="1" applyBorder="1" applyAlignment="1">
      <alignment vertical="center" wrapText="1"/>
    </xf>
    <xf numFmtId="0" fontId="9" fillId="0" borderId="0" xfId="0" applyFont="1" applyAlignment="1">
      <alignment vertical="center" shrinkToFit="1"/>
    </xf>
    <xf numFmtId="0" fontId="0" fillId="0" borderId="18" xfId="0" applyBorder="1" applyAlignment="1">
      <alignment horizontal="center" vertical="center"/>
    </xf>
    <xf numFmtId="0" fontId="3" fillId="0" borderId="0" xfId="5" applyAlignment="1">
      <alignment vertical="center"/>
    </xf>
    <xf numFmtId="0" fontId="10" fillId="0" borderId="0" xfId="5" applyFont="1" applyAlignment="1">
      <alignment vertical="center"/>
    </xf>
    <xf numFmtId="0" fontId="5" fillId="0" borderId="0" xfId="5" applyFont="1" applyAlignment="1">
      <alignment vertical="center"/>
    </xf>
    <xf numFmtId="0" fontId="5" fillId="0" borderId="18" xfId="5" applyFont="1" applyBorder="1" applyAlignment="1">
      <alignment horizontal="center" vertical="center"/>
    </xf>
    <xf numFmtId="0" fontId="21" fillId="0" borderId="18" xfId="5" quotePrefix="1" applyFont="1" applyBorder="1" applyAlignment="1">
      <alignment horizontal="center" vertical="center"/>
    </xf>
    <xf numFmtId="0" fontId="21" fillId="0" borderId="18" xfId="5" applyFont="1" applyBorder="1" applyAlignment="1">
      <alignment horizontal="center" vertical="center"/>
    </xf>
    <xf numFmtId="0" fontId="34" fillId="0" borderId="0" xfId="0" applyFont="1" applyAlignment="1">
      <alignment vertical="top"/>
    </xf>
    <xf numFmtId="0" fontId="28" fillId="3" borderId="18" xfId="0" applyFont="1" applyFill="1" applyBorder="1" applyAlignment="1">
      <alignment vertical="center"/>
    </xf>
    <xf numFmtId="0" fontId="28" fillId="3" borderId="31" xfId="0" applyFont="1" applyFill="1" applyBorder="1" applyAlignment="1">
      <alignment vertical="center"/>
    </xf>
    <xf numFmtId="0" fontId="5" fillId="0" borderId="18" xfId="0" applyFont="1" applyBorder="1" applyAlignment="1" applyProtection="1">
      <alignment horizontal="center" vertical="center"/>
      <protection locked="0"/>
    </xf>
    <xf numFmtId="0" fontId="28" fillId="0" borderId="0" xfId="0" applyFont="1"/>
    <xf numFmtId="0" fontId="10" fillId="0" borderId="0" xfId="0" applyFont="1" applyAlignment="1">
      <alignment horizontal="center" vertical="center"/>
    </xf>
    <xf numFmtId="178" fontId="5" fillId="0" borderId="0" xfId="0" applyNumberFormat="1" applyFont="1" applyAlignment="1">
      <alignment horizontal="center" vertical="center"/>
    </xf>
    <xf numFmtId="0" fontId="22" fillId="0" borderId="0" xfId="0" applyFont="1" applyAlignment="1">
      <alignment vertical="center"/>
    </xf>
    <xf numFmtId="0" fontId="25" fillId="0" borderId="0" xfId="6" applyFont="1" applyAlignment="1">
      <alignment horizontal="center" vertical="center"/>
    </xf>
    <xf numFmtId="0" fontId="21" fillId="0" borderId="0" xfId="0" quotePrefix="1" applyFont="1" applyAlignment="1">
      <alignment horizontal="center" vertical="center"/>
    </xf>
    <xf numFmtId="0" fontId="21" fillId="0" borderId="0" xfId="0" applyFont="1" applyAlignment="1">
      <alignment horizontal="center" vertical="center"/>
    </xf>
    <xf numFmtId="0" fontId="24" fillId="0" borderId="0" xfId="6" applyFont="1" applyAlignment="1">
      <alignment horizontal="center" vertical="center"/>
    </xf>
    <xf numFmtId="0" fontId="26" fillId="0" borderId="114" xfId="7" applyFont="1" applyBorder="1" applyAlignment="1">
      <alignment horizontal="center" vertical="center"/>
    </xf>
    <xf numFmtId="0" fontId="28" fillId="0" borderId="0" xfId="0" applyFont="1" applyAlignment="1">
      <alignment vertical="center"/>
    </xf>
    <xf numFmtId="0" fontId="5" fillId="0" borderId="8"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vertical="center"/>
    </xf>
    <xf numFmtId="0" fontId="0" fillId="0" borderId="18" xfId="0" applyBorder="1" applyAlignment="1">
      <alignment vertical="center"/>
    </xf>
    <xf numFmtId="0" fontId="0" fillId="0" borderId="0" xfId="0" applyAlignment="1">
      <alignment vertical="center" wrapText="1"/>
    </xf>
    <xf numFmtId="0" fontId="0" fillId="0" borderId="18" xfId="0" applyBorder="1" applyAlignment="1" applyProtection="1">
      <alignment horizontal="center" vertical="center"/>
      <protection locked="0"/>
    </xf>
    <xf numFmtId="176" fontId="37" fillId="0" borderId="18" xfId="0" applyNumberFormat="1" applyFont="1" applyBorder="1" applyAlignment="1">
      <alignment horizontal="center" vertical="center"/>
    </xf>
    <xf numFmtId="0" fontId="37" fillId="0" borderId="18" xfId="0" applyFont="1" applyBorder="1" applyAlignment="1">
      <alignment horizontal="center" vertical="center"/>
    </xf>
    <xf numFmtId="0" fontId="37" fillId="0" borderId="52" xfId="0" applyFont="1" applyBorder="1" applyAlignment="1">
      <alignment horizontal="center" vertical="center"/>
    </xf>
    <xf numFmtId="0" fontId="11" fillId="0" borderId="0" xfId="0" applyFont="1" applyAlignment="1">
      <alignment horizontal="left" vertical="center"/>
    </xf>
    <xf numFmtId="178" fontId="37" fillId="0" borderId="18" xfId="0" applyNumberFormat="1" applyFont="1" applyBorder="1" applyAlignment="1">
      <alignment horizontal="center" vertical="center"/>
    </xf>
    <xf numFmtId="0" fontId="11" fillId="0" borderId="6" xfId="0" applyFont="1" applyBorder="1" applyAlignment="1">
      <alignment vertical="center"/>
    </xf>
    <xf numFmtId="0" fontId="11" fillId="0" borderId="0" xfId="0" applyFont="1" applyAlignment="1">
      <alignment vertical="center"/>
    </xf>
    <xf numFmtId="0" fontId="5" fillId="0" borderId="4" xfId="0" applyFont="1" applyBorder="1" applyAlignment="1">
      <alignment horizontal="center" vertical="center" wrapText="1"/>
    </xf>
    <xf numFmtId="0" fontId="5" fillId="0" borderId="116" xfId="0" applyFont="1" applyBorder="1" applyAlignment="1">
      <alignment vertical="center" wrapText="1"/>
    </xf>
    <xf numFmtId="0" fontId="5" fillId="0" borderId="31" xfId="0" applyFont="1" applyBorder="1" applyAlignment="1">
      <alignment vertical="center" wrapText="1"/>
    </xf>
    <xf numFmtId="14" fontId="5" fillId="0" borderId="31" xfId="0" applyNumberFormat="1" applyFont="1" applyBorder="1" applyAlignment="1">
      <alignment horizontal="center" vertical="center" wrapText="1"/>
    </xf>
    <xf numFmtId="0" fontId="5" fillId="3" borderId="91" xfId="0" applyFont="1" applyFill="1" applyBorder="1" applyAlignment="1">
      <alignment vertical="center"/>
    </xf>
    <xf numFmtId="0" fontId="5" fillId="3" borderId="105" xfId="0" applyFont="1" applyFill="1" applyBorder="1" applyAlignment="1">
      <alignment vertical="center"/>
    </xf>
    <xf numFmtId="0" fontId="8" fillId="3" borderId="105" xfId="0" applyFont="1" applyFill="1" applyBorder="1" applyAlignment="1">
      <alignment vertical="center"/>
    </xf>
    <xf numFmtId="0" fontId="5" fillId="3" borderId="93" xfId="0" applyFont="1" applyFill="1" applyBorder="1" applyAlignment="1">
      <alignment vertical="center"/>
    </xf>
    <xf numFmtId="0" fontId="5" fillId="0" borderId="18" xfId="0" applyFont="1" applyBorder="1" applyAlignment="1" applyProtection="1">
      <alignment vertical="center"/>
      <protection locked="0"/>
    </xf>
    <xf numFmtId="0" fontId="0" fillId="0" borderId="18" xfId="0" applyBorder="1" applyProtection="1">
      <protection locked="0"/>
    </xf>
    <xf numFmtId="0" fontId="0" fillId="0" borderId="18" xfId="0" applyBorder="1" applyAlignment="1" applyProtection="1">
      <alignment vertical="center"/>
      <protection locked="0"/>
    </xf>
    <xf numFmtId="178" fontId="0" fillId="0" borderId="0" xfId="0" applyNumberFormat="1" applyAlignment="1">
      <alignment horizontal="center" vertical="center"/>
    </xf>
    <xf numFmtId="181" fontId="0" fillId="0" borderId="0" xfId="0" applyNumberFormat="1" applyAlignment="1">
      <alignment horizontal="center" vertical="center"/>
    </xf>
    <xf numFmtId="0" fontId="5" fillId="0" borderId="126" xfId="0" applyFont="1" applyBorder="1" applyAlignment="1">
      <alignment vertical="center" wrapText="1"/>
    </xf>
    <xf numFmtId="0" fontId="5" fillId="0" borderId="127" xfId="0" applyFont="1" applyBorder="1" applyAlignment="1">
      <alignment vertical="center" wrapText="1"/>
    </xf>
    <xf numFmtId="0" fontId="10" fillId="0" borderId="0" xfId="0" applyFont="1" applyAlignment="1">
      <alignment horizontal="right" vertical="center"/>
    </xf>
    <xf numFmtId="0" fontId="5" fillId="0" borderId="128" xfId="0" applyFont="1" applyBorder="1" applyAlignment="1">
      <alignment horizontal="center" vertical="center" wrapText="1"/>
    </xf>
    <xf numFmtId="0" fontId="5" fillId="0" borderId="100" xfId="0" applyFont="1" applyBorder="1" applyAlignment="1">
      <alignment vertical="center" wrapText="1"/>
    </xf>
    <xf numFmtId="0" fontId="5" fillId="0" borderId="87" xfId="0" applyFont="1" applyBorder="1" applyAlignment="1">
      <alignment horizontal="center" vertical="center" wrapText="1"/>
    </xf>
    <xf numFmtId="0" fontId="5" fillId="0" borderId="85" xfId="0" applyFont="1" applyBorder="1" applyAlignment="1">
      <alignment vertical="center" wrapText="1"/>
    </xf>
    <xf numFmtId="0" fontId="5" fillId="0" borderId="129" xfId="0" applyFont="1" applyBorder="1" applyAlignment="1">
      <alignment horizontal="center" vertical="center" wrapText="1"/>
    </xf>
    <xf numFmtId="0" fontId="5" fillId="0" borderId="130" xfId="0" applyFont="1" applyBorder="1" applyAlignment="1">
      <alignment vertical="center" wrapText="1"/>
    </xf>
    <xf numFmtId="0" fontId="5" fillId="0" borderId="101" xfId="0" applyFont="1" applyBorder="1" applyAlignment="1">
      <alignment horizontal="center" vertical="center" wrapText="1"/>
    </xf>
    <xf numFmtId="0" fontId="5" fillId="0" borderId="99" xfId="0" applyFont="1" applyBorder="1" applyAlignment="1">
      <alignment vertical="center" wrapText="1"/>
    </xf>
    <xf numFmtId="0" fontId="5" fillId="0" borderId="131"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133" xfId="0" applyFont="1" applyBorder="1" applyAlignment="1">
      <alignment vertical="center" wrapText="1"/>
    </xf>
    <xf numFmtId="0" fontId="0" fillId="3" borderId="52"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2" fontId="12" fillId="0" borderId="0" xfId="0" applyNumberFormat="1" applyFont="1" applyAlignment="1">
      <alignment horizontal="center" vertical="center"/>
    </xf>
    <xf numFmtId="0" fontId="8" fillId="0" borderId="0" xfId="0" applyFont="1" applyAlignment="1">
      <alignment horizontal="center" vertical="center"/>
    </xf>
    <xf numFmtId="0" fontId="5" fillId="0" borderId="51" xfId="0" applyFont="1" applyBorder="1" applyAlignment="1">
      <alignment vertical="center"/>
    </xf>
    <xf numFmtId="0" fontId="5" fillId="0" borderId="6" xfId="0" applyFont="1" applyBorder="1" applyAlignment="1">
      <alignment vertical="center"/>
    </xf>
    <xf numFmtId="0" fontId="5" fillId="0" borderId="17" xfId="0" applyFont="1" applyBorder="1" applyAlignment="1">
      <alignment vertical="center"/>
    </xf>
    <xf numFmtId="0" fontId="8" fillId="0" borderId="51" xfId="1" applyNumberFormat="1" applyFont="1" applyFill="1" applyBorder="1" applyAlignment="1">
      <alignment horizontal="right" vertical="center"/>
    </xf>
    <xf numFmtId="0" fontId="8" fillId="0" borderId="6" xfId="1" applyNumberFormat="1" applyFont="1" applyFill="1" applyBorder="1" applyAlignment="1">
      <alignment horizontal="right" vertical="center"/>
    </xf>
    <xf numFmtId="0" fontId="11" fillId="0" borderId="6" xfId="0" applyFont="1" applyBorder="1" applyAlignment="1">
      <alignment horizontal="left" vertical="center"/>
    </xf>
    <xf numFmtId="0" fontId="11" fillId="0" borderId="17" xfId="0" applyFont="1" applyBorder="1" applyAlignment="1">
      <alignment horizontal="left"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10" fillId="3" borderId="5" xfId="0" applyFont="1" applyFill="1" applyBorder="1" applyAlignment="1" applyProtection="1">
      <alignment vertical="center" shrinkToFit="1"/>
      <protection locked="0"/>
    </xf>
    <xf numFmtId="0" fontId="10" fillId="3" borderId="15" xfId="0" applyFont="1" applyFill="1" applyBorder="1" applyAlignment="1" applyProtection="1">
      <alignment vertical="center" shrinkToFit="1"/>
      <protection locked="0"/>
    </xf>
    <xf numFmtId="0" fontId="5" fillId="0" borderId="9" xfId="0" applyFont="1" applyBorder="1" applyAlignment="1">
      <alignment vertical="center"/>
    </xf>
    <xf numFmtId="0" fontId="5" fillId="0" borderId="4" xfId="0" applyFont="1" applyBorder="1" applyAlignment="1">
      <alignment vertical="center"/>
    </xf>
    <xf numFmtId="0" fontId="5" fillId="0" borderId="19" xfId="0" applyFont="1" applyBorder="1" applyAlignment="1">
      <alignment vertical="center"/>
    </xf>
    <xf numFmtId="0" fontId="10" fillId="3" borderId="4" xfId="0" applyFont="1" applyFill="1" applyBorder="1" applyAlignment="1" applyProtection="1">
      <alignment vertical="center" shrinkToFit="1"/>
      <protection locked="0"/>
    </xf>
    <xf numFmtId="0" fontId="10" fillId="3" borderId="31" xfId="0" applyFont="1" applyFill="1" applyBorder="1" applyAlignment="1" applyProtection="1">
      <alignment vertical="center" shrinkToFit="1"/>
      <protection locked="0"/>
    </xf>
    <xf numFmtId="0" fontId="5" fillId="2" borderId="52" xfId="0" applyFont="1" applyFill="1" applyBorder="1" applyAlignment="1">
      <alignment horizontal="center" vertical="center"/>
    </xf>
    <xf numFmtId="0" fontId="5" fillId="2" borderId="4" xfId="0" applyFont="1" applyFill="1" applyBorder="1" applyAlignment="1">
      <alignment horizontal="center" vertical="center"/>
    </xf>
    <xf numFmtId="0" fontId="10" fillId="3" borderId="4"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19" fillId="0" borderId="20" xfId="0" applyFont="1" applyBorder="1" applyAlignment="1">
      <alignment horizontal="center" vertical="center"/>
    </xf>
    <xf numFmtId="0" fontId="19" fillId="0" borderId="22" xfId="0" applyFont="1" applyBorder="1" applyAlignment="1">
      <alignment horizontal="center" vertical="center"/>
    </xf>
    <xf numFmtId="0" fontId="5" fillId="4" borderId="52" xfId="0" applyFont="1" applyFill="1" applyBorder="1" applyAlignment="1">
      <alignment horizontal="center" vertical="center"/>
    </xf>
    <xf numFmtId="0" fontId="5" fillId="4" borderId="31" xfId="0" applyFont="1" applyFill="1" applyBorder="1" applyAlignment="1">
      <alignment horizontal="center" vertical="center"/>
    </xf>
    <xf numFmtId="0" fontId="5" fillId="0" borderId="18" xfId="0" applyFont="1" applyBorder="1" applyAlignment="1">
      <alignment horizontal="center" vertical="center" wrapText="1"/>
    </xf>
    <xf numFmtId="0" fontId="5" fillId="0" borderId="18" xfId="0" applyFont="1" applyBorder="1" applyAlignment="1">
      <alignment horizontal="center" vertical="center"/>
    </xf>
    <xf numFmtId="0" fontId="5" fillId="0" borderId="26" xfId="0" applyFont="1" applyBorder="1" applyAlignment="1">
      <alignment horizontal="center" vertical="center"/>
    </xf>
    <xf numFmtId="0" fontId="5" fillId="0" borderId="37" xfId="0" applyFont="1" applyBorder="1" applyAlignment="1">
      <alignment vertical="center"/>
    </xf>
    <xf numFmtId="0" fontId="5" fillId="0" borderId="3" xfId="0" applyFont="1" applyBorder="1" applyAlignment="1">
      <alignment vertical="center"/>
    </xf>
    <xf numFmtId="0" fontId="8" fillId="0" borderId="7" xfId="0" applyFont="1" applyBorder="1" applyAlignment="1">
      <alignment horizontal="right" vertical="center"/>
    </xf>
    <xf numFmtId="0" fontId="8" fillId="0" borderId="13" xfId="0" applyFont="1" applyBorder="1" applyAlignment="1">
      <alignment horizontal="right" vertical="center"/>
    </xf>
    <xf numFmtId="0" fontId="5" fillId="0" borderId="13" xfId="0" applyFont="1" applyBorder="1" applyAlignment="1">
      <alignment horizontal="center" vertical="center"/>
    </xf>
    <xf numFmtId="0" fontId="5" fillId="0" borderId="27" xfId="0" applyFont="1" applyBorder="1" applyAlignment="1">
      <alignment horizontal="center" vertical="center"/>
    </xf>
    <xf numFmtId="179" fontId="8" fillId="0" borderId="53" xfId="0" applyNumberFormat="1" applyFont="1" applyBorder="1" applyAlignment="1">
      <alignment horizontal="right" vertical="center"/>
    </xf>
    <xf numFmtId="179" fontId="8" fillId="0" borderId="13" xfId="0" applyNumberFormat="1" applyFont="1" applyBorder="1" applyAlignment="1">
      <alignment horizontal="right" vertical="center"/>
    </xf>
    <xf numFmtId="0" fontId="18" fillId="0" borderId="3" xfId="0" applyFont="1" applyBorder="1" applyAlignment="1">
      <alignment horizontal="center" vertical="center"/>
    </xf>
    <xf numFmtId="0" fontId="18" fillId="0" borderId="30" xfId="0" applyFont="1" applyBorder="1" applyAlignment="1">
      <alignment horizontal="center" vertical="center"/>
    </xf>
    <xf numFmtId="0" fontId="19" fillId="0" borderId="18" xfId="0" applyFont="1" applyBorder="1" applyAlignment="1">
      <alignment horizontal="center" vertical="center"/>
    </xf>
    <xf numFmtId="0" fontId="19" fillId="0" borderId="26" xfId="0" applyFont="1" applyBorder="1" applyAlignment="1">
      <alignment horizontal="center" vertical="center"/>
    </xf>
    <xf numFmtId="2" fontId="8" fillId="0" borderId="8" xfId="0" applyNumberFormat="1" applyFont="1" applyBorder="1" applyAlignment="1">
      <alignment horizontal="right" vertical="center"/>
    </xf>
    <xf numFmtId="2" fontId="8" fillId="0" borderId="5" xfId="0" applyNumberFormat="1" applyFont="1" applyBorder="1" applyAlignment="1">
      <alignment horizontal="right"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16" xfId="0" applyFont="1" applyBorder="1" applyAlignment="1">
      <alignment horizontal="center" vertical="center"/>
    </xf>
    <xf numFmtId="0" fontId="0" fillId="0" borderId="52" xfId="0" applyBorder="1" applyAlignment="1">
      <alignment horizontal="center" vertical="center"/>
    </xf>
    <xf numFmtId="0" fontId="0" fillId="0" borderId="31" xfId="0" applyBorder="1" applyAlignment="1">
      <alignment horizontal="center" vertical="center"/>
    </xf>
    <xf numFmtId="0" fontId="5" fillId="0" borderId="34" xfId="0" applyFont="1" applyBorder="1" applyAlignment="1">
      <alignment horizontal="center" vertical="center"/>
    </xf>
    <xf numFmtId="0" fontId="5" fillId="0" borderId="36" xfId="0" applyFont="1" applyBorder="1" applyAlignment="1">
      <alignment horizontal="center" vertical="center"/>
    </xf>
    <xf numFmtId="0" fontId="5" fillId="0" borderId="7"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2" fontId="8" fillId="0" borderId="13" xfId="0" applyNumberFormat="1" applyFont="1" applyBorder="1" applyAlignment="1">
      <alignment horizontal="right" vertical="center"/>
    </xf>
    <xf numFmtId="0" fontId="11" fillId="2" borderId="13" xfId="1" applyNumberFormat="1" applyFont="1" applyFill="1" applyBorder="1" applyAlignment="1">
      <alignment horizontal="center" vertical="center"/>
    </xf>
    <xf numFmtId="0" fontId="11" fillId="2" borderId="14" xfId="1" applyNumberFormat="1" applyFont="1" applyFill="1" applyBorder="1" applyAlignment="1">
      <alignment horizontal="center" vertical="center"/>
    </xf>
    <xf numFmtId="0" fontId="0" fillId="0" borderId="18" xfId="0" applyBorder="1" applyAlignment="1">
      <alignment horizontal="center" vertical="center"/>
    </xf>
    <xf numFmtId="0" fontId="5" fillId="2" borderId="13" xfId="0" applyFont="1" applyFill="1" applyBorder="1" applyAlignment="1">
      <alignment horizontal="right" vertical="center"/>
    </xf>
    <xf numFmtId="0" fontId="10" fillId="3" borderId="13" xfId="0" applyFont="1" applyFill="1" applyBorder="1" applyAlignment="1" applyProtection="1">
      <alignment horizontal="center" vertical="center"/>
      <protection locked="0"/>
    </xf>
    <xf numFmtId="0" fontId="11" fillId="0" borderId="5" xfId="0" applyFont="1" applyBorder="1" applyAlignment="1">
      <alignment horizontal="center" vertical="center"/>
    </xf>
    <xf numFmtId="0" fontId="11" fillId="0" borderId="58" xfId="0" applyFont="1" applyBorder="1" applyAlignment="1">
      <alignment horizontal="center" vertical="center"/>
    </xf>
    <xf numFmtId="178" fontId="8" fillId="0" borderId="35" xfId="0" applyNumberFormat="1" applyFont="1" applyBorder="1" applyAlignment="1">
      <alignment horizontal="right" vertical="center"/>
    </xf>
    <xf numFmtId="178" fontId="8" fillId="0" borderId="5" xfId="0" applyNumberFormat="1" applyFont="1" applyBorder="1" applyAlignment="1">
      <alignment horizontal="right" vertical="center"/>
    </xf>
    <xf numFmtId="0" fontId="18" fillId="0" borderId="5" xfId="0" applyFont="1" applyBorder="1" applyAlignment="1">
      <alignment horizontal="center" vertical="center"/>
    </xf>
    <xf numFmtId="0" fontId="18" fillId="0" borderId="15"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178" fontId="5" fillId="0" borderId="4" xfId="0" applyNumberFormat="1" applyFont="1" applyBorder="1" applyAlignment="1">
      <alignment horizontal="center" vertical="center"/>
    </xf>
    <xf numFmtId="0" fontId="5" fillId="0" borderId="4" xfId="0" applyFont="1" applyBorder="1" applyAlignment="1">
      <alignment horizontal="center" vertical="center" shrinkToFit="1"/>
    </xf>
    <xf numFmtId="0" fontId="5" fillId="0" borderId="19" xfId="0" applyFont="1" applyBorder="1" applyAlignment="1">
      <alignment horizontal="center" vertical="center" shrinkToFit="1"/>
    </xf>
    <xf numFmtId="0" fontId="10" fillId="0" borderId="25" xfId="0" applyFont="1" applyBorder="1" applyAlignment="1">
      <alignment horizontal="center" vertical="center"/>
    </xf>
    <xf numFmtId="0" fontId="10" fillId="0" borderId="23" xfId="0" applyFont="1" applyBorder="1" applyAlignment="1">
      <alignment horizontal="center" vertical="center"/>
    </xf>
    <xf numFmtId="178" fontId="5" fillId="0" borderId="71" xfId="0" applyNumberFormat="1" applyFont="1" applyBorder="1" applyAlignment="1">
      <alignment horizontal="center" vertical="center"/>
    </xf>
    <xf numFmtId="178" fontId="5" fillId="0" borderId="72" xfId="0" applyNumberFormat="1" applyFont="1" applyBorder="1" applyAlignment="1">
      <alignment horizontal="center" vertical="center"/>
    </xf>
    <xf numFmtId="0" fontId="6" fillId="0" borderId="51"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29" xfId="0" applyFont="1" applyBorder="1" applyAlignment="1">
      <alignment horizontal="center" vertical="center" textRotation="255"/>
    </xf>
    <xf numFmtId="0" fontId="6" fillId="0" borderId="0" xfId="0" applyFont="1" applyAlignment="1">
      <alignment horizontal="center" vertical="center" textRotation="255"/>
    </xf>
    <xf numFmtId="0" fontId="6" fillId="0" borderId="37" xfId="0" applyFont="1" applyBorder="1" applyAlignment="1">
      <alignment horizontal="center" vertical="center" textRotation="255"/>
    </xf>
    <xf numFmtId="0" fontId="6" fillId="0" borderId="3" xfId="0" applyFont="1" applyBorder="1" applyAlignment="1">
      <alignment horizontal="center" vertical="center" textRotation="255"/>
    </xf>
    <xf numFmtId="178" fontId="5" fillId="0" borderId="5" xfId="0" applyNumberFormat="1" applyFont="1" applyBorder="1" applyAlignment="1">
      <alignment horizontal="center" vertical="center"/>
    </xf>
    <xf numFmtId="0" fontId="21" fillId="0" borderId="5" xfId="0" applyFont="1" applyBorder="1" applyAlignment="1">
      <alignment horizontal="center" vertical="center" shrinkToFit="1"/>
    </xf>
    <xf numFmtId="0" fontId="5" fillId="0" borderId="5" xfId="0" applyFont="1" applyBorder="1" applyAlignment="1">
      <alignment vertical="center" shrinkToFit="1"/>
    </xf>
    <xf numFmtId="180" fontId="5" fillId="0" borderId="5" xfId="0" applyNumberFormat="1" applyFont="1" applyBorder="1" applyAlignment="1">
      <alignment horizontal="center" vertical="center" shrinkToFit="1"/>
    </xf>
    <xf numFmtId="0" fontId="5" fillId="0" borderId="5" xfId="0" applyFont="1" applyBorder="1" applyAlignment="1">
      <alignment horizontal="center" vertical="center" shrinkToFit="1"/>
    </xf>
    <xf numFmtId="178" fontId="5" fillId="0" borderId="68" xfId="0" applyNumberFormat="1" applyFont="1" applyBorder="1" applyAlignment="1">
      <alignment horizontal="center" vertical="center"/>
    </xf>
    <xf numFmtId="178" fontId="5" fillId="0" borderId="49" xfId="0" applyNumberFormat="1" applyFont="1" applyBorder="1" applyAlignment="1">
      <alignment horizontal="center" vertical="center"/>
    </xf>
    <xf numFmtId="178" fontId="5" fillId="0" borderId="64" xfId="0" applyNumberFormat="1" applyFont="1" applyBorder="1" applyAlignment="1">
      <alignment horizontal="center" vertical="center"/>
    </xf>
    <xf numFmtId="178" fontId="5" fillId="0" borderId="69" xfId="0" applyNumberFormat="1" applyFont="1" applyBorder="1" applyAlignment="1">
      <alignment horizontal="center" vertical="center"/>
    </xf>
    <xf numFmtId="49" fontId="9" fillId="3" borderId="44" xfId="0" applyNumberFormat="1" applyFont="1" applyFill="1" applyBorder="1" applyAlignment="1" applyProtection="1">
      <alignment horizontal="left" vertical="center" shrinkToFit="1"/>
      <protection locked="0"/>
    </xf>
    <xf numFmtId="49" fontId="9" fillId="3" borderId="47" xfId="0" applyNumberFormat="1" applyFont="1" applyFill="1" applyBorder="1" applyAlignment="1" applyProtection="1">
      <alignment horizontal="left" vertical="center" shrinkToFit="1"/>
      <protection locked="0"/>
    </xf>
    <xf numFmtId="0" fontId="9" fillId="3" borderId="45" xfId="0" applyFont="1" applyFill="1" applyBorder="1" applyAlignment="1" applyProtection="1">
      <alignment horizontal="center" vertical="center" shrinkToFit="1"/>
      <protection locked="0"/>
    </xf>
    <xf numFmtId="0" fontId="9" fillId="3" borderId="47" xfId="0" applyFont="1" applyFill="1" applyBorder="1" applyAlignment="1" applyProtection="1">
      <alignment horizontal="center" vertical="center" shrinkToFit="1"/>
      <protection locked="0"/>
    </xf>
    <xf numFmtId="180" fontId="5" fillId="0" borderId="45" xfId="0" applyNumberFormat="1" applyFont="1" applyBorder="1" applyAlignment="1">
      <alignment horizontal="center" vertical="center"/>
    </xf>
    <xf numFmtId="180" fontId="5" fillId="0" borderId="47" xfId="0" applyNumberFormat="1" applyFont="1" applyBorder="1" applyAlignment="1">
      <alignment horizontal="center" vertical="center"/>
    </xf>
    <xf numFmtId="0" fontId="9" fillId="3" borderId="39" xfId="0" applyFont="1" applyFill="1" applyBorder="1" applyAlignment="1" applyProtection="1">
      <alignment horizontal="center" vertical="center" shrinkToFit="1"/>
      <protection locked="0"/>
    </xf>
    <xf numFmtId="178" fontId="5" fillId="0" borderId="39" xfId="0" applyNumberFormat="1" applyFont="1" applyBorder="1" applyAlignment="1">
      <alignment horizontal="center" vertical="center"/>
    </xf>
    <xf numFmtId="178" fontId="5" fillId="0" borderId="66" xfId="0" applyNumberFormat="1" applyFont="1" applyBorder="1" applyAlignment="1">
      <alignment horizontal="center" vertical="center"/>
    </xf>
    <xf numFmtId="178" fontId="5" fillId="0" borderId="67" xfId="0" applyNumberFormat="1" applyFont="1" applyBorder="1" applyAlignment="1">
      <alignment horizontal="center" vertical="center"/>
    </xf>
    <xf numFmtId="178" fontId="5" fillId="0" borderId="70" xfId="0" applyNumberFormat="1" applyFont="1" applyBorder="1" applyAlignment="1">
      <alignment horizontal="center" vertical="center"/>
    </xf>
    <xf numFmtId="49" fontId="9" fillId="3" borderId="48" xfId="0" applyNumberFormat="1" applyFont="1" applyFill="1" applyBorder="1" applyAlignment="1" applyProtection="1">
      <alignment horizontal="left" vertical="center" shrinkToFit="1"/>
      <protection locked="0"/>
    </xf>
    <xf numFmtId="49" fontId="9" fillId="3" borderId="49" xfId="0" applyNumberFormat="1" applyFont="1" applyFill="1" applyBorder="1" applyAlignment="1" applyProtection="1">
      <alignment horizontal="left" vertical="center" shrinkToFit="1"/>
      <protection locked="0"/>
    </xf>
    <xf numFmtId="0" fontId="9" fillId="3" borderId="68" xfId="0" applyFont="1" applyFill="1" applyBorder="1" applyAlignment="1" applyProtection="1">
      <alignment horizontal="center" vertical="center" shrinkToFit="1"/>
      <protection locked="0"/>
    </xf>
    <xf numFmtId="0" fontId="9" fillId="3" borderId="49" xfId="0" applyFont="1" applyFill="1" applyBorder="1" applyAlignment="1" applyProtection="1">
      <alignment horizontal="center" vertical="center" shrinkToFit="1"/>
      <protection locked="0"/>
    </xf>
    <xf numFmtId="180" fontId="5" fillId="0" borderId="68" xfId="0" applyNumberFormat="1" applyFont="1" applyBorder="1" applyAlignment="1">
      <alignment horizontal="center" vertical="center"/>
    </xf>
    <xf numFmtId="180" fontId="5" fillId="0" borderId="49" xfId="0" applyNumberFormat="1" applyFont="1" applyBorder="1" applyAlignment="1">
      <alignment horizontal="center" vertical="center"/>
    </xf>
    <xf numFmtId="0" fontId="9" fillId="3" borderId="64" xfId="0" applyFont="1" applyFill="1" applyBorder="1" applyAlignment="1" applyProtection="1">
      <alignment horizontal="center" vertical="center" shrinkToFit="1"/>
      <protection locked="0"/>
    </xf>
    <xf numFmtId="178" fontId="5" fillId="0" borderId="13" xfId="0" applyNumberFormat="1" applyFont="1" applyBorder="1" applyAlignment="1">
      <alignment horizontal="center" vertical="center"/>
    </xf>
    <xf numFmtId="178" fontId="5" fillId="0" borderId="107" xfId="0" applyNumberFormat="1" applyFont="1" applyBorder="1" applyAlignment="1">
      <alignment horizontal="center" vertical="center"/>
    </xf>
    <xf numFmtId="49" fontId="9" fillId="3" borderId="41" xfId="0" applyNumberFormat="1" applyFont="1" applyFill="1" applyBorder="1" applyAlignment="1" applyProtection="1">
      <alignment horizontal="left" vertical="center" shrinkToFit="1"/>
      <protection locked="0"/>
    </xf>
    <xf numFmtId="49" fontId="9" fillId="3" borderId="50" xfId="0" applyNumberFormat="1" applyFont="1" applyFill="1" applyBorder="1" applyAlignment="1" applyProtection="1">
      <alignment horizontal="left" vertical="center" shrinkToFit="1"/>
      <protection locked="0"/>
    </xf>
    <xf numFmtId="0" fontId="9" fillId="3" borderId="42" xfId="0" applyFont="1" applyFill="1" applyBorder="1" applyAlignment="1" applyProtection="1">
      <alignment horizontal="center" vertical="center" shrinkToFit="1"/>
      <protection locked="0"/>
    </xf>
    <xf numFmtId="0" fontId="9" fillId="3" borderId="50" xfId="0" applyFont="1" applyFill="1" applyBorder="1" applyAlignment="1" applyProtection="1">
      <alignment horizontal="center" vertical="center" shrinkToFit="1"/>
      <protection locked="0"/>
    </xf>
    <xf numFmtId="180" fontId="5" fillId="0" borderId="42" xfId="0" applyNumberFormat="1" applyFont="1" applyBorder="1" applyAlignment="1">
      <alignment horizontal="center" vertical="center"/>
    </xf>
    <xf numFmtId="180" fontId="5" fillId="0" borderId="50" xfId="0" applyNumberFormat="1" applyFont="1" applyBorder="1" applyAlignment="1">
      <alignment horizontal="center" vertical="center"/>
    </xf>
    <xf numFmtId="0" fontId="9" fillId="3" borderId="32" xfId="0" applyFont="1" applyFill="1" applyBorder="1" applyAlignment="1" applyProtection="1">
      <alignment horizontal="center" vertical="center" shrinkToFit="1"/>
      <protection locked="0"/>
    </xf>
    <xf numFmtId="178" fontId="5" fillId="0" borderId="32" xfId="0" applyNumberFormat="1" applyFont="1" applyBorder="1" applyAlignment="1">
      <alignment horizontal="center" vertical="center"/>
    </xf>
    <xf numFmtId="178" fontId="5" fillId="0" borderId="43" xfId="0" applyNumberFormat="1" applyFont="1" applyBorder="1" applyAlignment="1">
      <alignment horizontal="center" vertical="center"/>
    </xf>
    <xf numFmtId="0" fontId="5" fillId="0" borderId="51" xfId="0" applyFont="1" applyBorder="1" applyAlignment="1">
      <alignment horizontal="center" vertical="center"/>
    </xf>
    <xf numFmtId="0" fontId="5" fillId="0" borderId="59" xfId="0" applyFont="1" applyBorder="1" applyAlignment="1">
      <alignment horizontal="center" vertical="center"/>
    </xf>
    <xf numFmtId="0" fontId="5" fillId="0" borderId="29" xfId="0" applyFont="1" applyBorder="1" applyAlignment="1">
      <alignment horizontal="center" vertical="center"/>
    </xf>
    <xf numFmtId="0" fontId="5" fillId="0" borderId="67"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5" fillId="0" borderId="65"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60"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6"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6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9" xfId="0" applyFont="1" applyBorder="1" applyAlignment="1">
      <alignment horizontal="center" vertical="center"/>
    </xf>
    <xf numFmtId="0" fontId="5" fillId="0" borderId="20" xfId="0" applyFont="1" applyBorder="1" applyAlignment="1">
      <alignment horizontal="center" vertical="center"/>
    </xf>
    <xf numFmtId="0" fontId="5" fillId="0" borderId="39" xfId="0" applyFont="1" applyBorder="1" applyAlignment="1">
      <alignment horizontal="center" vertical="center" wrapText="1"/>
    </xf>
    <xf numFmtId="178" fontId="5" fillId="0" borderId="33" xfId="0" applyNumberFormat="1" applyFont="1" applyBorder="1" applyAlignment="1">
      <alignment horizontal="center" vertical="center"/>
    </xf>
    <xf numFmtId="178" fontId="5" fillId="0" borderId="46" xfId="0" applyNumberFormat="1" applyFont="1" applyBorder="1" applyAlignment="1">
      <alignment horizontal="center" vertical="center"/>
    </xf>
    <xf numFmtId="0" fontId="5" fillId="0" borderId="70" xfId="0" applyFont="1" applyBorder="1" applyAlignment="1">
      <alignment horizontal="center" vertical="center"/>
    </xf>
    <xf numFmtId="0" fontId="5" fillId="0" borderId="22" xfId="0" applyFont="1" applyBorder="1" applyAlignment="1">
      <alignment horizontal="center" vertical="center"/>
    </xf>
    <xf numFmtId="0" fontId="9" fillId="3" borderId="44" xfId="0" applyFont="1" applyFill="1" applyBorder="1" applyAlignment="1" applyProtection="1">
      <alignment horizontal="left" vertical="center" shrinkToFit="1"/>
      <protection locked="0"/>
    </xf>
    <xf numFmtId="0" fontId="9" fillId="3" borderId="63" xfId="0" applyFont="1" applyFill="1" applyBorder="1" applyAlignment="1" applyProtection="1">
      <alignment horizontal="left" vertical="center" shrinkToFit="1"/>
      <protection locked="0"/>
    </xf>
    <xf numFmtId="0" fontId="9" fillId="3" borderId="47" xfId="0" applyFont="1" applyFill="1" applyBorder="1" applyAlignment="1" applyProtection="1">
      <alignment horizontal="left" vertical="center" shrinkToFit="1"/>
      <protection locked="0"/>
    </xf>
    <xf numFmtId="0" fontId="9" fillId="3" borderId="78" xfId="0" applyFont="1" applyFill="1" applyBorder="1" applyAlignment="1" applyProtection="1">
      <alignment horizontal="center" vertical="center" shrinkToFit="1"/>
      <protection locked="0"/>
    </xf>
    <xf numFmtId="0" fontId="9" fillId="3" borderId="74" xfId="0" applyFont="1" applyFill="1" applyBorder="1" applyAlignment="1" applyProtection="1">
      <alignment horizontal="center" vertical="center" shrinkToFit="1"/>
      <protection locked="0"/>
    </xf>
    <xf numFmtId="0" fontId="9" fillId="3" borderId="75" xfId="0" applyFont="1" applyFill="1" applyBorder="1" applyAlignment="1" applyProtection="1">
      <alignment horizontal="center" vertical="center" shrinkToFit="1"/>
      <protection locked="0"/>
    </xf>
    <xf numFmtId="0" fontId="9" fillId="3" borderId="33" xfId="0" applyFont="1" applyFill="1" applyBorder="1" applyAlignment="1" applyProtection="1">
      <alignment horizontal="center" vertical="center" shrinkToFit="1"/>
      <protection locked="0"/>
    </xf>
    <xf numFmtId="0" fontId="9" fillId="3" borderId="64" xfId="0" applyFont="1" applyFill="1" applyBorder="1" applyAlignment="1" applyProtection="1">
      <alignment horizontal="center" vertical="center"/>
      <protection locked="0"/>
    </xf>
    <xf numFmtId="0" fontId="9" fillId="3" borderId="48" xfId="0" applyFont="1" applyFill="1" applyBorder="1" applyAlignment="1" applyProtection="1">
      <alignment horizontal="left" vertical="center" shrinkToFit="1"/>
      <protection locked="0"/>
    </xf>
    <xf numFmtId="0" fontId="9" fillId="3" borderId="109" xfId="0" applyFont="1" applyFill="1" applyBorder="1" applyAlignment="1" applyProtection="1">
      <alignment horizontal="left" vertical="center" shrinkToFit="1"/>
      <protection locked="0"/>
    </xf>
    <xf numFmtId="0" fontId="9" fillId="3" borderId="49" xfId="0" applyFont="1" applyFill="1" applyBorder="1" applyAlignment="1" applyProtection="1">
      <alignment horizontal="left" vertical="center" shrinkToFit="1"/>
      <protection locked="0"/>
    </xf>
    <xf numFmtId="0" fontId="9" fillId="3" borderId="86" xfId="0" applyFont="1" applyFill="1" applyBorder="1" applyAlignment="1" applyProtection="1">
      <alignment horizontal="center" vertical="center" shrinkToFit="1"/>
      <protection locked="0"/>
    </xf>
    <xf numFmtId="0" fontId="9" fillId="3" borderId="80"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9" fillId="3" borderId="41" xfId="0" applyFont="1" applyFill="1" applyBorder="1" applyAlignment="1" applyProtection="1">
      <alignment horizontal="left" vertical="center" shrinkToFit="1"/>
      <protection locked="0"/>
    </xf>
    <xf numFmtId="0" fontId="9" fillId="3" borderId="62" xfId="0" applyFont="1" applyFill="1" applyBorder="1" applyAlignment="1" applyProtection="1">
      <alignment horizontal="left" vertical="center" shrinkToFit="1"/>
      <protection locked="0"/>
    </xf>
    <xf numFmtId="0" fontId="9" fillId="3" borderId="50" xfId="0" applyFont="1" applyFill="1" applyBorder="1" applyAlignment="1" applyProtection="1">
      <alignment horizontal="left" vertical="center" shrinkToFit="1"/>
      <protection locked="0"/>
    </xf>
    <xf numFmtId="0" fontId="9" fillId="3" borderId="88" xfId="0" applyFont="1" applyFill="1" applyBorder="1" applyAlignment="1" applyProtection="1">
      <alignment horizontal="center" vertical="center" shrinkToFit="1"/>
      <protection locked="0"/>
    </xf>
    <xf numFmtId="0" fontId="9" fillId="3" borderId="76" xfId="0" applyFont="1" applyFill="1" applyBorder="1" applyAlignment="1" applyProtection="1">
      <alignment horizontal="center" vertical="center" shrinkToFit="1"/>
      <protection locked="0"/>
    </xf>
    <xf numFmtId="0" fontId="9" fillId="3" borderId="77" xfId="0" applyFont="1" applyFill="1" applyBorder="1" applyAlignment="1" applyProtection="1">
      <alignment horizontal="center" vertical="center" shrinkToFit="1"/>
      <protection locked="0"/>
    </xf>
    <xf numFmtId="0" fontId="9" fillId="3" borderId="32" xfId="0" applyFont="1" applyFill="1" applyBorder="1" applyAlignment="1" applyProtection="1">
      <alignment horizontal="center" vertical="center"/>
      <protection locked="0"/>
    </xf>
    <xf numFmtId="0" fontId="9" fillId="3" borderId="68" xfId="0" applyFont="1" applyFill="1" applyBorder="1" applyAlignment="1" applyProtection="1">
      <alignment horizontal="center" vertical="center"/>
      <protection locked="0"/>
    </xf>
    <xf numFmtId="0" fontId="9" fillId="3" borderId="49" xfId="0" applyFont="1" applyFill="1" applyBorder="1" applyAlignment="1" applyProtection="1">
      <alignment horizontal="center" vertical="center"/>
      <protection locked="0"/>
    </xf>
    <xf numFmtId="0" fontId="5" fillId="0" borderId="3" xfId="0" applyFont="1" applyBorder="1" applyAlignment="1">
      <alignment horizontal="center" vertical="center"/>
    </xf>
    <xf numFmtId="0" fontId="5" fillId="0" borderId="66" xfId="0" applyFont="1" applyBorder="1" applyAlignment="1">
      <alignment horizontal="center" vertical="center"/>
    </xf>
    <xf numFmtId="0" fontId="5" fillId="0" borderId="28" xfId="0" applyFont="1" applyBorder="1" applyAlignment="1">
      <alignment horizontal="center" vertical="center"/>
    </xf>
    <xf numFmtId="0" fontId="5" fillId="0" borderId="38" xfId="0" applyFont="1" applyBorder="1" applyAlignment="1">
      <alignment horizontal="center" vertical="center"/>
    </xf>
    <xf numFmtId="0" fontId="5" fillId="0" borderId="30" xfId="0" applyFont="1" applyBorder="1" applyAlignment="1">
      <alignment horizontal="center" vertical="center"/>
    </xf>
    <xf numFmtId="0" fontId="5" fillId="0" borderId="65" xfId="0" applyFont="1" applyBorder="1" applyAlignment="1">
      <alignment horizontal="center" vertical="center"/>
    </xf>
    <xf numFmtId="0" fontId="5" fillId="0" borderId="110" xfId="0" applyFont="1" applyBorder="1" applyAlignment="1">
      <alignment horizontal="center" vertical="center"/>
    </xf>
    <xf numFmtId="0" fontId="5" fillId="0" borderId="40" xfId="0" applyFont="1" applyBorder="1" applyAlignment="1">
      <alignment horizontal="center" vertical="center"/>
    </xf>
    <xf numFmtId="0" fontId="5" fillId="0" borderId="111" xfId="0" applyFont="1" applyBorder="1" applyAlignment="1">
      <alignment horizontal="center" vertical="center"/>
    </xf>
    <xf numFmtId="0" fontId="15" fillId="0" borderId="34" xfId="0" applyFont="1" applyBorder="1" applyAlignment="1">
      <alignment horizontal="center" vertical="center" wrapText="1"/>
    </xf>
    <xf numFmtId="0" fontId="15" fillId="0" borderId="34" xfId="0" applyFont="1" applyBorder="1" applyAlignment="1">
      <alignment horizontal="center" vertical="center"/>
    </xf>
    <xf numFmtId="0" fontId="15" fillId="0" borderId="39" xfId="0" applyFont="1" applyBorder="1" applyAlignment="1">
      <alignment horizontal="center" vertical="center" wrapText="1"/>
    </xf>
    <xf numFmtId="0" fontId="15" fillId="0" borderId="39" xfId="0" applyFont="1" applyBorder="1" applyAlignment="1">
      <alignment horizontal="center" vertical="center"/>
    </xf>
    <xf numFmtId="0" fontId="15" fillId="0" borderId="20" xfId="0" applyFont="1" applyBorder="1" applyAlignment="1">
      <alignment horizontal="center" vertical="center"/>
    </xf>
    <xf numFmtId="38" fontId="5" fillId="0" borderId="20" xfId="1" applyFont="1" applyFill="1" applyBorder="1" applyAlignment="1">
      <alignment horizontal="center" vertical="center"/>
    </xf>
    <xf numFmtId="38" fontId="5" fillId="0" borderId="53" xfId="1" applyFont="1" applyFill="1" applyBorder="1" applyAlignment="1">
      <alignment horizontal="center" vertical="center"/>
    </xf>
    <xf numFmtId="0" fontId="5" fillId="0" borderId="79" xfId="0" applyFont="1" applyBorder="1" applyAlignment="1">
      <alignment horizontal="center" vertical="center"/>
    </xf>
    <xf numFmtId="0" fontId="9" fillId="5" borderId="47" xfId="1" applyNumberFormat="1" applyFont="1" applyFill="1" applyBorder="1" applyAlignment="1" applyProtection="1">
      <alignment horizontal="center" vertical="center"/>
      <protection locked="0"/>
    </xf>
    <xf numFmtId="0" fontId="9" fillId="5" borderId="33" xfId="1" applyNumberFormat="1" applyFont="1" applyFill="1" applyBorder="1" applyAlignment="1" applyProtection="1">
      <alignment horizontal="center" vertical="center"/>
      <protection locked="0"/>
    </xf>
    <xf numFmtId="49" fontId="10" fillId="3" borderId="47" xfId="0" applyNumberFormat="1" applyFont="1" applyFill="1" applyBorder="1" applyAlignment="1" applyProtection="1">
      <alignment horizontal="left" vertical="center" shrinkToFit="1"/>
      <protection locked="0"/>
    </xf>
    <xf numFmtId="0" fontId="9" fillId="3" borderId="39" xfId="0" applyFont="1" applyFill="1" applyBorder="1" applyAlignment="1" applyProtection="1">
      <alignment horizontal="center" vertical="center"/>
      <protection locked="0"/>
    </xf>
    <xf numFmtId="0" fontId="5" fillId="3" borderId="45" xfId="0" applyFont="1" applyFill="1" applyBorder="1" applyAlignment="1">
      <alignment horizontal="center" vertical="center"/>
    </xf>
    <xf numFmtId="0" fontId="5" fillId="3" borderId="81" xfId="0" applyFont="1" applyFill="1" applyBorder="1" applyAlignment="1">
      <alignment horizontal="center" vertical="center"/>
    </xf>
    <xf numFmtId="0" fontId="9" fillId="5" borderId="45" xfId="1" applyNumberFormat="1" applyFont="1" applyFill="1" applyBorder="1" applyAlignment="1" applyProtection="1">
      <alignment horizontal="center" vertical="center"/>
      <protection locked="0"/>
    </xf>
    <xf numFmtId="0" fontId="9" fillId="5" borderId="75" xfId="1" applyNumberFormat="1" applyFont="1" applyFill="1" applyBorder="1" applyAlignment="1" applyProtection="1">
      <alignment horizontal="center" vertical="center"/>
      <protection locked="0"/>
    </xf>
    <xf numFmtId="0" fontId="9" fillId="5" borderId="78" xfId="1" applyNumberFormat="1" applyFont="1" applyFill="1" applyBorder="1" applyAlignment="1" applyProtection="1">
      <alignment horizontal="center" vertical="center"/>
      <protection locked="0"/>
    </xf>
    <xf numFmtId="0" fontId="5" fillId="3" borderId="68" xfId="0" applyFont="1" applyFill="1" applyBorder="1" applyAlignment="1">
      <alignment horizontal="center" vertical="center"/>
    </xf>
    <xf numFmtId="0" fontId="5" fillId="3" borderId="86" xfId="0" applyFont="1" applyFill="1" applyBorder="1" applyAlignment="1">
      <alignment horizontal="center" vertical="center"/>
    </xf>
    <xf numFmtId="0" fontId="9" fillId="5" borderId="64" xfId="1" applyNumberFormat="1" applyFont="1" applyFill="1" applyBorder="1" applyAlignment="1" applyProtection="1">
      <alignment horizontal="center" vertical="center"/>
      <protection locked="0"/>
    </xf>
    <xf numFmtId="0" fontId="9" fillId="5" borderId="68" xfId="1" applyNumberFormat="1" applyFont="1" applyFill="1" applyBorder="1" applyAlignment="1" applyProtection="1">
      <alignment horizontal="center" vertical="center"/>
      <protection locked="0"/>
    </xf>
    <xf numFmtId="0" fontId="9" fillId="5" borderId="85" xfId="1" applyNumberFormat="1" applyFont="1" applyFill="1" applyBorder="1" applyAlignment="1" applyProtection="1">
      <alignment horizontal="center" vertical="center"/>
      <protection locked="0"/>
    </xf>
    <xf numFmtId="0" fontId="9" fillId="5" borderId="87" xfId="1" applyNumberFormat="1" applyFont="1" applyFill="1" applyBorder="1" applyAlignment="1" applyProtection="1">
      <alignment horizontal="center" vertical="center"/>
      <protection locked="0"/>
    </xf>
    <xf numFmtId="0" fontId="9" fillId="5" borderId="49" xfId="1" applyNumberFormat="1" applyFont="1" applyFill="1" applyBorder="1" applyAlignment="1" applyProtection="1">
      <alignment horizontal="center" vertical="center"/>
      <protection locked="0"/>
    </xf>
    <xf numFmtId="0" fontId="9" fillId="5" borderId="80" xfId="1" applyNumberFormat="1" applyFont="1" applyFill="1" applyBorder="1" applyAlignment="1" applyProtection="1">
      <alignment horizontal="center" vertical="center"/>
      <protection locked="0"/>
    </xf>
    <xf numFmtId="49" fontId="10" fillId="3" borderId="49" xfId="0" applyNumberFormat="1" applyFont="1" applyFill="1" applyBorder="1" applyAlignment="1" applyProtection="1">
      <alignment horizontal="left" vertical="center" shrinkToFit="1"/>
      <protection locked="0"/>
    </xf>
    <xf numFmtId="0" fontId="9" fillId="3" borderId="87" xfId="0" applyFont="1" applyFill="1" applyBorder="1" applyAlignment="1" applyProtection="1">
      <alignment horizontal="center" vertical="center" shrinkToFit="1"/>
      <protection locked="0"/>
    </xf>
    <xf numFmtId="0" fontId="9" fillId="3" borderId="84" xfId="0" applyFont="1" applyFill="1" applyBorder="1" applyAlignment="1" applyProtection="1">
      <alignment horizontal="center" vertical="center" shrinkToFit="1"/>
      <protection locked="0"/>
    </xf>
    <xf numFmtId="0" fontId="9" fillId="3" borderId="85" xfId="0" applyFont="1" applyFill="1" applyBorder="1" applyAlignment="1" applyProtection="1">
      <alignment horizontal="center" vertical="center" shrinkToFit="1"/>
      <protection locked="0"/>
    </xf>
    <xf numFmtId="0" fontId="9" fillId="5" borderId="86" xfId="1" applyNumberFormat="1" applyFont="1" applyFill="1" applyBorder="1" applyAlignment="1" applyProtection="1">
      <alignment horizontal="center" vertical="center"/>
      <protection locked="0"/>
    </xf>
    <xf numFmtId="0" fontId="5" fillId="3" borderId="49"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88" xfId="0" applyFont="1" applyFill="1" applyBorder="1" applyAlignment="1">
      <alignment horizontal="center" vertical="center"/>
    </xf>
    <xf numFmtId="0" fontId="9" fillId="5" borderId="32" xfId="1" applyNumberFormat="1" applyFont="1" applyFill="1" applyBorder="1" applyAlignment="1" applyProtection="1">
      <alignment horizontal="center" vertical="center"/>
      <protection locked="0"/>
    </xf>
    <xf numFmtId="0" fontId="9" fillId="5" borderId="42" xfId="1" applyNumberFormat="1" applyFont="1" applyFill="1" applyBorder="1" applyAlignment="1" applyProtection="1">
      <alignment horizontal="center" vertical="center"/>
      <protection locked="0"/>
    </xf>
    <xf numFmtId="0" fontId="9" fillId="5" borderId="77" xfId="1" applyNumberFormat="1" applyFont="1" applyFill="1" applyBorder="1" applyAlignment="1" applyProtection="1">
      <alignment horizontal="center" vertical="center"/>
      <protection locked="0"/>
    </xf>
    <xf numFmtId="0" fontId="9" fillId="5" borderId="88" xfId="1" applyNumberFormat="1" applyFont="1" applyFill="1" applyBorder="1" applyAlignment="1" applyProtection="1">
      <alignment horizontal="center" vertical="center"/>
      <protection locked="0"/>
    </xf>
    <xf numFmtId="0" fontId="9" fillId="5" borderId="50" xfId="1" applyNumberFormat="1" applyFont="1" applyFill="1" applyBorder="1" applyAlignment="1" applyProtection="1">
      <alignment horizontal="center" vertical="center"/>
      <protection locked="0"/>
    </xf>
    <xf numFmtId="178" fontId="5" fillId="0" borderId="16" xfId="0" applyNumberFormat="1" applyFont="1" applyBorder="1" applyAlignment="1">
      <alignment horizontal="center" vertical="center"/>
    </xf>
    <xf numFmtId="49" fontId="10" fillId="3" borderId="50" xfId="0" applyNumberFormat="1" applyFont="1" applyFill="1" applyBorder="1" applyAlignment="1" applyProtection="1">
      <alignment horizontal="left" vertical="center" shrinkToFit="1"/>
      <protection locked="0"/>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10" fillId="0" borderId="61" xfId="0" applyFont="1" applyBorder="1" applyAlignment="1">
      <alignment horizontal="center" vertical="center"/>
    </xf>
    <xf numFmtId="38" fontId="5" fillId="0" borderId="94" xfId="1" applyFont="1" applyFill="1" applyBorder="1" applyAlignment="1">
      <alignment horizontal="center" vertical="center"/>
    </xf>
    <xf numFmtId="38" fontId="5" fillId="0" borderId="95" xfId="1" applyFont="1" applyFill="1" applyBorder="1" applyAlignment="1">
      <alignment horizontal="center" vertical="center"/>
    </xf>
    <xf numFmtId="38" fontId="5" fillId="0" borderId="38" xfId="1" applyFont="1" applyFill="1" applyBorder="1" applyAlignment="1">
      <alignment horizontal="center" vertical="center"/>
    </xf>
    <xf numFmtId="38" fontId="5" fillId="0" borderId="96" xfId="1" applyFont="1" applyFill="1" applyBorder="1" applyAlignment="1">
      <alignment horizontal="center"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5" fillId="0" borderId="9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2" fontId="8" fillId="0" borderId="0" xfId="0" applyNumberFormat="1" applyFont="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177" fontId="5" fillId="0" borderId="23" xfId="0" applyNumberFormat="1" applyFont="1" applyBorder="1" applyAlignment="1">
      <alignment horizontal="center" vertical="center"/>
    </xf>
    <xf numFmtId="177" fontId="5" fillId="0" borderId="24" xfId="0" applyNumberFormat="1"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35" xfId="0" applyFont="1" applyBorder="1" applyAlignment="1">
      <alignment horizontal="center" vertical="center" shrinkToFit="1"/>
    </xf>
    <xf numFmtId="178" fontId="5" fillId="0" borderId="73" xfId="0" applyNumberFormat="1" applyFont="1" applyBorder="1" applyAlignment="1">
      <alignment horizontal="center" vertical="center"/>
    </xf>
    <xf numFmtId="49" fontId="9" fillId="3" borderId="41" xfId="0" applyNumberFormat="1" applyFont="1" applyFill="1" applyBorder="1" applyAlignment="1" applyProtection="1">
      <alignment horizontal="center" vertical="center" shrinkToFit="1"/>
      <protection locked="0"/>
    </xf>
    <xf numFmtId="49" fontId="10" fillId="3" borderId="50" xfId="0" applyNumberFormat="1" applyFont="1" applyFill="1" applyBorder="1" applyAlignment="1" applyProtection="1">
      <alignment horizontal="center" vertical="center" shrinkToFit="1"/>
      <protection locked="0"/>
    </xf>
    <xf numFmtId="49" fontId="9" fillId="3" borderId="48" xfId="0" applyNumberFormat="1" applyFont="1" applyFill="1" applyBorder="1" applyAlignment="1" applyProtection="1">
      <alignment horizontal="center" vertical="center" shrinkToFit="1"/>
      <protection locked="0"/>
    </xf>
    <xf numFmtId="49" fontId="10" fillId="3" borderId="49" xfId="0" applyNumberFormat="1" applyFont="1" applyFill="1" applyBorder="1" applyAlignment="1" applyProtection="1">
      <alignment horizontal="center" vertical="center" shrinkToFit="1"/>
      <protection locked="0"/>
    </xf>
    <xf numFmtId="49" fontId="9" fillId="3" borderId="44" xfId="0" applyNumberFormat="1" applyFont="1" applyFill="1" applyBorder="1" applyAlignment="1" applyProtection="1">
      <alignment horizontal="center" vertical="center" shrinkToFit="1"/>
      <protection locked="0"/>
    </xf>
    <xf numFmtId="49" fontId="10" fillId="3" borderId="47" xfId="0" applyNumberFormat="1" applyFont="1" applyFill="1" applyBorder="1" applyAlignment="1" applyProtection="1">
      <alignment horizontal="center" vertical="center" shrinkToFit="1"/>
      <protection locked="0"/>
    </xf>
    <xf numFmtId="0" fontId="10" fillId="2" borderId="25"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61"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60" xfId="0" applyFont="1" applyFill="1" applyBorder="1" applyAlignment="1">
      <alignment horizontal="center" vertical="center"/>
    </xf>
    <xf numFmtId="49" fontId="9" fillId="3" borderId="50" xfId="0" applyNumberFormat="1" applyFont="1" applyFill="1" applyBorder="1" applyAlignment="1" applyProtection="1">
      <alignment horizontal="center" vertical="center" shrinkToFit="1"/>
      <protection locked="0"/>
    </xf>
    <xf numFmtId="0" fontId="9" fillId="3" borderId="65" xfId="0" applyFont="1" applyFill="1" applyBorder="1" applyAlignment="1" applyProtection="1">
      <alignment horizontal="center" vertical="center" shrinkToFit="1"/>
      <protection locked="0"/>
    </xf>
    <xf numFmtId="0" fontId="9" fillId="3" borderId="59" xfId="0" applyFont="1" applyFill="1" applyBorder="1" applyAlignment="1" applyProtection="1">
      <alignment horizontal="center" vertical="center" shrinkToFit="1"/>
      <protection locked="0"/>
    </xf>
    <xf numFmtId="178" fontId="5" fillId="0" borderId="42" xfId="0" applyNumberFormat="1" applyFont="1" applyBorder="1" applyAlignment="1">
      <alignment horizontal="center" vertical="center"/>
    </xf>
    <xf numFmtId="178" fontId="5" fillId="0" borderId="50" xfId="0" applyNumberFormat="1" applyFont="1" applyBorder="1" applyAlignment="1">
      <alignment horizontal="center" vertical="center"/>
    </xf>
    <xf numFmtId="178" fontId="5" fillId="0" borderId="65" xfId="0" applyNumberFormat="1" applyFont="1" applyBorder="1" applyAlignment="1">
      <alignment horizontal="center" vertical="center"/>
    </xf>
    <xf numFmtId="178" fontId="5" fillId="0" borderId="59" xfId="0" applyNumberFormat="1" applyFont="1" applyBorder="1" applyAlignment="1">
      <alignment horizontal="center" vertical="center"/>
    </xf>
    <xf numFmtId="179" fontId="9" fillId="3" borderId="65" xfId="0" applyNumberFormat="1" applyFont="1" applyFill="1" applyBorder="1" applyAlignment="1" applyProtection="1">
      <alignment horizontal="center" vertical="center" shrinkToFit="1"/>
      <protection locked="0"/>
    </xf>
    <xf numFmtId="179" fontId="9" fillId="3" borderId="59" xfId="0" applyNumberFormat="1" applyFont="1" applyFill="1" applyBorder="1" applyAlignment="1" applyProtection="1">
      <alignment horizontal="center" vertical="center" shrinkToFit="1"/>
      <protection locked="0"/>
    </xf>
    <xf numFmtId="49" fontId="9" fillId="3" borderId="49" xfId="0" applyNumberFormat="1" applyFont="1" applyFill="1" applyBorder="1" applyAlignment="1" applyProtection="1">
      <alignment horizontal="center" vertical="center" shrinkToFit="1"/>
      <protection locked="0"/>
    </xf>
    <xf numFmtId="179" fontId="9" fillId="3" borderId="68" xfId="0" applyNumberFormat="1" applyFont="1" applyFill="1" applyBorder="1" applyAlignment="1" applyProtection="1">
      <alignment horizontal="center" vertical="center" shrinkToFit="1"/>
      <protection locked="0"/>
    </xf>
    <xf numFmtId="179" fontId="9" fillId="3" borderId="49" xfId="0" applyNumberFormat="1" applyFont="1" applyFill="1" applyBorder="1" applyAlignment="1" applyProtection="1">
      <alignment horizontal="center" vertical="center" shrinkToFit="1"/>
      <protection locked="0"/>
    </xf>
    <xf numFmtId="178" fontId="5" fillId="0" borderId="83" xfId="0" applyNumberFormat="1" applyFont="1" applyBorder="1" applyAlignment="1">
      <alignment horizontal="center" vertical="center"/>
    </xf>
    <xf numFmtId="178" fontId="5" fillId="0" borderId="82" xfId="0" applyNumberFormat="1" applyFont="1" applyBorder="1" applyAlignment="1">
      <alignment horizontal="center" vertical="center"/>
    </xf>
    <xf numFmtId="178" fontId="5" fillId="0" borderId="45" xfId="0" applyNumberFormat="1" applyFont="1" applyBorder="1" applyAlignment="1">
      <alignment horizontal="center" vertical="center"/>
    </xf>
    <xf numFmtId="178" fontId="5" fillId="0" borderId="47" xfId="0" applyNumberFormat="1" applyFont="1" applyBorder="1" applyAlignment="1">
      <alignment horizontal="center" vertical="center"/>
    </xf>
    <xf numFmtId="178" fontId="5" fillId="0" borderId="102" xfId="0" applyNumberFormat="1" applyFont="1" applyBorder="1" applyAlignment="1">
      <alignment horizontal="center" vertical="center"/>
    </xf>
    <xf numFmtId="178" fontId="5" fillId="0" borderId="103" xfId="0" applyNumberFormat="1" applyFont="1" applyBorder="1" applyAlignment="1">
      <alignment horizontal="center" vertical="center"/>
    </xf>
    <xf numFmtId="178" fontId="5" fillId="0" borderId="104" xfId="0" applyNumberFormat="1" applyFont="1" applyBorder="1" applyAlignment="1">
      <alignment horizontal="center" vertical="center"/>
    </xf>
    <xf numFmtId="178" fontId="5" fillId="0" borderId="61" xfId="0" applyNumberFormat="1" applyFont="1" applyBorder="1" applyAlignment="1">
      <alignment horizontal="center" vertical="center"/>
    </xf>
    <xf numFmtId="49" fontId="9" fillId="3" borderId="108" xfId="0" applyNumberFormat="1" applyFont="1" applyFill="1" applyBorder="1" applyAlignment="1" applyProtection="1">
      <alignment horizontal="center" vertical="center" shrinkToFit="1"/>
      <protection locked="0"/>
    </xf>
    <xf numFmtId="49" fontId="9" fillId="3" borderId="82" xfId="0" applyNumberFormat="1" applyFont="1" applyFill="1" applyBorder="1" applyAlignment="1" applyProtection="1">
      <alignment horizontal="center" vertical="center" shrinkToFit="1"/>
      <protection locked="0"/>
    </xf>
    <xf numFmtId="0" fontId="9" fillId="3" borderId="66" xfId="0" applyFont="1" applyFill="1" applyBorder="1" applyAlignment="1" applyProtection="1">
      <alignment horizontal="center" vertical="center" shrinkToFit="1"/>
      <protection locked="0"/>
    </xf>
    <xf numFmtId="0" fontId="9" fillId="3" borderId="67" xfId="0" applyFont="1" applyFill="1" applyBorder="1" applyAlignment="1" applyProtection="1">
      <alignment horizontal="center" vertical="center" shrinkToFit="1"/>
      <protection locked="0"/>
    </xf>
    <xf numFmtId="0" fontId="9" fillId="3" borderId="83" xfId="0" applyFont="1" applyFill="1" applyBorder="1" applyAlignment="1" applyProtection="1">
      <alignment horizontal="center" vertical="center" shrinkToFit="1"/>
      <protection locked="0"/>
    </xf>
    <xf numFmtId="0" fontId="9" fillId="3" borderId="82" xfId="0" applyFont="1" applyFill="1" applyBorder="1" applyAlignment="1" applyProtection="1">
      <alignment horizontal="center" vertical="center" shrinkToFit="1"/>
      <protection locked="0"/>
    </xf>
    <xf numFmtId="179" fontId="9" fillId="3" borderId="66" xfId="0" applyNumberFormat="1" applyFont="1" applyFill="1" applyBorder="1" applyAlignment="1" applyProtection="1">
      <alignment horizontal="center" vertical="center" shrinkToFit="1"/>
      <protection locked="0"/>
    </xf>
    <xf numFmtId="179" fontId="9" fillId="3" borderId="67" xfId="0" applyNumberFormat="1" applyFont="1" applyFill="1" applyBorder="1" applyAlignment="1" applyProtection="1">
      <alignment horizontal="center" vertical="center" shrinkToFit="1"/>
      <protection locked="0"/>
    </xf>
    <xf numFmtId="0" fontId="6" fillId="0" borderId="51" xfId="0" applyFont="1" applyBorder="1" applyAlignment="1">
      <alignment horizontal="center" vertical="center" textRotation="255" shrinkToFit="1"/>
    </xf>
    <xf numFmtId="0" fontId="6" fillId="0" borderId="17" xfId="0" applyFont="1" applyBorder="1" applyAlignment="1">
      <alignment horizontal="center" vertical="center" textRotation="255" shrinkToFit="1"/>
    </xf>
    <xf numFmtId="0" fontId="6" fillId="0" borderId="29" xfId="0" applyFont="1" applyBorder="1" applyAlignment="1">
      <alignment horizontal="center" vertical="center" textRotation="255" shrinkToFit="1"/>
    </xf>
    <xf numFmtId="0" fontId="6" fillId="0" borderId="28" xfId="0" applyFont="1" applyBorder="1" applyAlignment="1">
      <alignment horizontal="center" vertical="center" textRotation="255" shrinkToFit="1"/>
    </xf>
    <xf numFmtId="0" fontId="6" fillId="0" borderId="37" xfId="0" applyFont="1" applyBorder="1" applyAlignment="1">
      <alignment horizontal="center" vertical="center" textRotation="255" shrinkToFit="1"/>
    </xf>
    <xf numFmtId="0" fontId="6" fillId="0" borderId="30" xfId="0" applyFont="1" applyBorder="1" applyAlignment="1">
      <alignment horizontal="center" vertical="center" textRotation="255" shrinkToFit="1"/>
    </xf>
    <xf numFmtId="178" fontId="11" fillId="0" borderId="5" xfId="0" applyNumberFormat="1" applyFont="1" applyBorder="1" applyAlignment="1">
      <alignment horizontal="center" vertical="center"/>
    </xf>
    <xf numFmtId="0" fontId="11" fillId="0" borderId="5" xfId="0" applyFont="1" applyBorder="1" applyAlignment="1">
      <alignment horizontal="center" vertical="center" shrinkToFit="1"/>
    </xf>
    <xf numFmtId="49" fontId="9" fillId="3" borderId="91" xfId="0" applyNumberFormat="1" applyFont="1" applyFill="1" applyBorder="1" applyAlignment="1" applyProtection="1">
      <alignment horizontal="center" vertical="center" shrinkToFit="1"/>
      <protection locked="0"/>
    </xf>
    <xf numFmtId="49" fontId="9" fillId="3" borderId="34" xfId="0" applyNumberFormat="1" applyFont="1" applyFill="1" applyBorder="1" applyAlignment="1" applyProtection="1">
      <alignment horizontal="center" vertical="center" shrinkToFit="1"/>
      <protection locked="0"/>
    </xf>
    <xf numFmtId="0" fontId="9" fillId="3" borderId="34" xfId="0" applyFont="1" applyFill="1" applyBorder="1" applyAlignment="1" applyProtection="1">
      <alignment horizontal="center" vertical="center" shrinkToFit="1"/>
      <protection locked="0"/>
    </xf>
    <xf numFmtId="0" fontId="9" fillId="3" borderId="36" xfId="0" applyFont="1" applyFill="1" applyBorder="1" applyAlignment="1" applyProtection="1">
      <alignment horizontal="center" vertical="center" shrinkToFit="1"/>
      <protection locked="0"/>
    </xf>
    <xf numFmtId="49" fontId="9" fillId="3" borderId="105" xfId="0" applyNumberFormat="1" applyFont="1" applyFill="1" applyBorder="1" applyAlignment="1" applyProtection="1">
      <alignment horizontal="center" vertical="center" shrinkToFit="1"/>
      <protection locked="0"/>
    </xf>
    <xf numFmtId="49" fontId="9" fillId="3" borderId="18" xfId="0" applyNumberFormat="1" applyFont="1" applyFill="1" applyBorder="1" applyAlignment="1" applyProtection="1">
      <alignment horizontal="center" vertical="center" shrinkToFit="1"/>
      <protection locked="0"/>
    </xf>
    <xf numFmtId="0" fontId="9" fillId="3" borderId="21"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shrinkToFit="1"/>
      <protection locked="0"/>
    </xf>
    <xf numFmtId="0" fontId="9" fillId="3" borderId="26" xfId="0" applyFont="1" applyFill="1" applyBorder="1" applyAlignment="1" applyProtection="1">
      <alignment horizontal="center" vertical="center" shrinkToFit="1"/>
      <protection locked="0"/>
    </xf>
    <xf numFmtId="0" fontId="35" fillId="0" borderId="52" xfId="0" applyFont="1" applyBorder="1" applyAlignment="1">
      <alignment horizontal="center" vertical="center"/>
    </xf>
    <xf numFmtId="0" fontId="35" fillId="0" borderId="4" xfId="0" applyFont="1" applyBorder="1" applyAlignment="1">
      <alignment horizontal="center" vertical="center"/>
    </xf>
    <xf numFmtId="0" fontId="35" fillId="0" borderId="31" xfId="0" applyFont="1" applyBorder="1" applyAlignment="1">
      <alignment horizontal="center" vertical="center"/>
    </xf>
    <xf numFmtId="0" fontId="5" fillId="0" borderId="35" xfId="0" applyFont="1" applyBorder="1" applyAlignment="1">
      <alignment horizontal="center" vertical="center"/>
    </xf>
    <xf numFmtId="0" fontId="5" fillId="0" borderId="53" xfId="0" applyFont="1" applyBorder="1" applyAlignment="1">
      <alignment horizontal="center" vertical="center"/>
    </xf>
    <xf numFmtId="0" fontId="5" fillId="2" borderId="65" xfId="0" applyFont="1" applyFill="1" applyBorder="1" applyAlignment="1">
      <alignment horizontal="center" vertical="center" wrapText="1"/>
    </xf>
    <xf numFmtId="0" fontId="5" fillId="2" borderId="1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0" xfId="0" applyFont="1" applyFill="1" applyBorder="1" applyAlignment="1">
      <alignment horizontal="center" vertical="center"/>
    </xf>
    <xf numFmtId="49" fontId="9" fillId="3" borderId="123" xfId="0" applyNumberFormat="1" applyFont="1" applyFill="1" applyBorder="1" applyAlignment="1" applyProtection="1">
      <alignment horizontal="center" vertical="center" shrinkToFit="1"/>
      <protection locked="0"/>
    </xf>
    <xf numFmtId="49" fontId="9" fillId="3" borderId="118" xfId="0" applyNumberFormat="1" applyFont="1" applyFill="1" applyBorder="1" applyAlignment="1" applyProtection="1">
      <alignment horizontal="center" vertical="center" shrinkToFit="1"/>
      <protection locked="0"/>
    </xf>
    <xf numFmtId="0" fontId="9" fillId="3" borderId="118" xfId="0" applyFont="1" applyFill="1" applyBorder="1" applyAlignment="1" applyProtection="1">
      <alignment horizontal="center" vertical="center" shrinkToFit="1"/>
      <protection locked="0"/>
    </xf>
    <xf numFmtId="0" fontId="9" fillId="3" borderId="124" xfId="0" applyFont="1" applyFill="1" applyBorder="1" applyAlignment="1" applyProtection="1">
      <alignment horizontal="center" vertical="center" shrinkToFit="1"/>
      <protection locked="0"/>
    </xf>
    <xf numFmtId="0" fontId="10" fillId="0" borderId="106" xfId="0" applyFont="1" applyBorder="1" applyAlignment="1">
      <alignment horizontal="center" vertical="center"/>
    </xf>
    <xf numFmtId="0" fontId="10" fillId="0" borderId="71" xfId="0" applyFont="1" applyBorder="1" applyAlignment="1">
      <alignment horizontal="center" vertical="center"/>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49" fontId="9" fillId="3" borderId="121" xfId="0" applyNumberFormat="1" applyFont="1" applyFill="1" applyBorder="1" applyAlignment="1" applyProtection="1">
      <alignment horizontal="center" vertical="center" shrinkToFit="1"/>
      <protection locked="0"/>
    </xf>
    <xf numFmtId="49" fontId="9" fillId="3" borderId="113" xfId="0" applyNumberFormat="1" applyFont="1" applyFill="1" applyBorder="1" applyAlignment="1" applyProtection="1">
      <alignment horizontal="center" vertical="center" shrinkToFit="1"/>
      <protection locked="0"/>
    </xf>
    <xf numFmtId="0" fontId="9" fillId="3" borderId="113" xfId="0" applyFont="1" applyFill="1" applyBorder="1" applyAlignment="1" applyProtection="1">
      <alignment horizontal="center" vertical="center" shrinkToFit="1"/>
      <protection locked="0"/>
    </xf>
    <xf numFmtId="0" fontId="9" fillId="3" borderId="122" xfId="0" applyFont="1" applyFill="1" applyBorder="1" applyAlignment="1" applyProtection="1">
      <alignment horizontal="center" vertical="center" shrinkToFit="1"/>
      <protection locked="0"/>
    </xf>
    <xf numFmtId="49" fontId="20" fillId="0" borderId="108" xfId="0" applyNumberFormat="1" applyFont="1" applyBorder="1" applyAlignment="1">
      <alignment horizontal="center" vertical="center"/>
    </xf>
    <xf numFmtId="49" fontId="20" fillId="0" borderId="82" xfId="0" applyNumberFormat="1" applyFont="1" applyBorder="1" applyAlignment="1">
      <alignment horizontal="center" vertical="center"/>
    </xf>
    <xf numFmtId="49" fontId="20" fillId="0" borderId="68" xfId="0" applyNumberFormat="1" applyFont="1" applyBorder="1" applyAlignment="1">
      <alignment horizontal="center" vertical="center"/>
    </xf>
    <xf numFmtId="49" fontId="20" fillId="0" borderId="109" xfId="0" applyNumberFormat="1" applyFont="1" applyBorder="1" applyAlignment="1">
      <alignment horizontal="center" vertical="center"/>
    </xf>
    <xf numFmtId="49" fontId="20" fillId="0" borderId="49" xfId="0" applyNumberFormat="1" applyFont="1" applyBorder="1" applyAlignment="1">
      <alignment horizontal="center" vertical="center"/>
    </xf>
    <xf numFmtId="0" fontId="9" fillId="3" borderId="109" xfId="0" applyFont="1" applyFill="1" applyBorder="1" applyAlignment="1" applyProtection="1">
      <alignment horizontal="center" vertical="center" shrinkToFit="1"/>
      <protection locked="0"/>
    </xf>
    <xf numFmtId="179" fontId="9" fillId="3" borderId="68" xfId="0" applyNumberFormat="1" applyFont="1" applyFill="1" applyBorder="1" applyAlignment="1">
      <alignment horizontal="center" vertical="center" shrinkToFit="1"/>
    </xf>
    <xf numFmtId="179" fontId="9" fillId="3" borderId="109" xfId="0" applyNumberFormat="1" applyFont="1" applyFill="1" applyBorder="1" applyAlignment="1">
      <alignment horizontal="center" vertical="center" shrinkToFit="1"/>
    </xf>
    <xf numFmtId="179" fontId="9" fillId="3" borderId="49" xfId="0" applyNumberFormat="1" applyFont="1" applyFill="1" applyBorder="1" applyAlignment="1">
      <alignment horizontal="center" vertical="center" shrinkToFit="1"/>
    </xf>
    <xf numFmtId="178" fontId="5" fillId="0" borderId="109" xfId="0" applyNumberFormat="1" applyFont="1" applyBorder="1" applyAlignment="1">
      <alignment horizontal="center" vertical="center"/>
    </xf>
    <xf numFmtId="49" fontId="20" fillId="0" borderId="51" xfId="0" applyNumberFormat="1" applyFont="1" applyBorder="1" applyAlignment="1">
      <alignment horizontal="center" vertical="center"/>
    </xf>
    <xf numFmtId="49" fontId="20" fillId="0" borderId="59" xfId="0" applyNumberFormat="1" applyFont="1" applyBorder="1" applyAlignment="1">
      <alignment horizontal="center" vertical="center"/>
    </xf>
    <xf numFmtId="49" fontId="20" fillId="0" borderId="65" xfId="0" applyNumberFormat="1" applyFont="1" applyBorder="1" applyAlignment="1">
      <alignment horizontal="center" vertical="center"/>
    </xf>
    <xf numFmtId="49" fontId="20" fillId="0" borderId="6" xfId="0" applyNumberFormat="1" applyFont="1" applyBorder="1" applyAlignment="1">
      <alignment horizontal="center" vertical="center"/>
    </xf>
    <xf numFmtId="0" fontId="9" fillId="3" borderId="62" xfId="0" applyFont="1" applyFill="1" applyBorder="1" applyAlignment="1" applyProtection="1">
      <alignment horizontal="center" vertical="center" shrinkToFit="1"/>
      <protection locked="0"/>
    </xf>
    <xf numFmtId="179" fontId="9" fillId="3" borderId="42" xfId="0" applyNumberFormat="1" applyFont="1" applyFill="1" applyBorder="1" applyAlignment="1">
      <alignment horizontal="center" vertical="center" shrinkToFit="1"/>
    </xf>
    <xf numFmtId="179" fontId="9" fillId="3" borderId="62" xfId="0" applyNumberFormat="1" applyFont="1" applyFill="1" applyBorder="1" applyAlignment="1">
      <alignment horizontal="center" vertical="center" shrinkToFit="1"/>
    </xf>
    <xf numFmtId="179" fontId="9" fillId="3" borderId="50" xfId="0" applyNumberFormat="1" applyFont="1" applyFill="1" applyBorder="1" applyAlignment="1">
      <alignment horizontal="center" vertical="center" shrinkToFit="1"/>
    </xf>
    <xf numFmtId="178" fontId="5" fillId="0" borderId="62" xfId="0" applyNumberFormat="1" applyFont="1" applyBorder="1" applyAlignment="1">
      <alignment horizontal="center" vertical="center"/>
    </xf>
    <xf numFmtId="178" fontId="5" fillId="0" borderId="112" xfId="0" applyNumberFormat="1" applyFont="1" applyBorder="1" applyAlignment="1">
      <alignment horizontal="center" vertical="center"/>
    </xf>
    <xf numFmtId="49" fontId="20" fillId="0" borderId="48" xfId="0" applyNumberFormat="1" applyFont="1" applyBorder="1" applyAlignment="1">
      <alignment horizontal="center" vertical="center"/>
    </xf>
    <xf numFmtId="49" fontId="20" fillId="0" borderId="125" xfId="0" applyNumberFormat="1" applyFont="1" applyBorder="1" applyAlignment="1">
      <alignment horizontal="center" vertical="center"/>
    </xf>
    <xf numFmtId="49" fontId="20" fillId="0" borderId="64" xfId="0" applyNumberFormat="1" applyFont="1" applyBorder="1" applyAlignment="1">
      <alignment horizontal="center" vertical="center"/>
    </xf>
    <xf numFmtId="179" fontId="9" fillId="3" borderId="64" xfId="0" applyNumberFormat="1" applyFont="1" applyFill="1" applyBorder="1" applyAlignment="1">
      <alignment horizontal="center" vertical="center" shrinkToFit="1"/>
    </xf>
    <xf numFmtId="49" fontId="20" fillId="0" borderId="29" xfId="0" applyNumberFormat="1" applyFont="1" applyBorder="1" applyAlignment="1">
      <alignment horizontal="center" vertical="center"/>
    </xf>
    <xf numFmtId="49" fontId="20" fillId="0" borderId="67" xfId="0" applyNumberFormat="1" applyFont="1" applyBorder="1" applyAlignment="1">
      <alignment horizontal="center" vertical="center"/>
    </xf>
    <xf numFmtId="49" fontId="20" fillId="0" borderId="66" xfId="0" applyNumberFormat="1" applyFont="1" applyBorder="1" applyAlignment="1">
      <alignment horizontal="center" vertical="center"/>
    </xf>
    <xf numFmtId="49" fontId="20" fillId="0" borderId="0" xfId="0" applyNumberFormat="1" applyFont="1" applyAlignment="1">
      <alignment horizontal="center" vertical="center"/>
    </xf>
    <xf numFmtId="0" fontId="9" fillId="3" borderId="38" xfId="0"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shrinkToFit="1"/>
      <protection locked="0"/>
    </xf>
    <xf numFmtId="0" fontId="9" fillId="3" borderId="60" xfId="0" applyFont="1" applyFill="1" applyBorder="1" applyAlignment="1" applyProtection="1">
      <alignment horizontal="center" vertical="center" shrinkToFit="1"/>
      <protection locked="0"/>
    </xf>
    <xf numFmtId="179" fontId="9" fillId="3" borderId="38" xfId="0" applyNumberFormat="1" applyFont="1" applyFill="1" applyBorder="1" applyAlignment="1">
      <alignment horizontal="center" vertical="center" shrinkToFit="1"/>
    </xf>
    <xf numFmtId="179" fontId="9" fillId="3" borderId="3" xfId="0" applyNumberFormat="1" applyFont="1" applyFill="1" applyBorder="1" applyAlignment="1">
      <alignment horizontal="center" vertical="center" shrinkToFit="1"/>
    </xf>
    <xf numFmtId="179" fontId="9" fillId="3" borderId="60" xfId="0" applyNumberFormat="1" applyFont="1" applyFill="1" applyBorder="1" applyAlignment="1">
      <alignment horizontal="center" vertical="center" shrinkToFit="1"/>
    </xf>
    <xf numFmtId="178" fontId="5" fillId="0" borderId="38" xfId="0" applyNumberFormat="1" applyFont="1" applyBorder="1" applyAlignment="1">
      <alignment horizontal="center" vertical="center"/>
    </xf>
    <xf numFmtId="178" fontId="5" fillId="0" borderId="3" xfId="0" applyNumberFormat="1" applyFont="1" applyBorder="1" applyAlignment="1">
      <alignment horizontal="center" vertical="center"/>
    </xf>
    <xf numFmtId="178" fontId="5" fillId="0" borderId="30" xfId="0" applyNumberFormat="1" applyFont="1" applyBorder="1" applyAlignment="1">
      <alignment horizontal="center" vertical="center"/>
    </xf>
    <xf numFmtId="0" fontId="9" fillId="0" borderId="61" xfId="0" applyFont="1" applyBorder="1" applyAlignment="1">
      <alignment horizontal="center" vertical="center" shrinkToFit="1"/>
    </xf>
    <xf numFmtId="0" fontId="9" fillId="0" borderId="71" xfId="0" applyFont="1" applyBorder="1" applyAlignment="1">
      <alignment horizontal="center" vertical="center" shrinkToFit="1"/>
    </xf>
    <xf numFmtId="178" fontId="5" fillId="0" borderId="23" xfId="0" applyNumberFormat="1" applyFont="1" applyBorder="1" applyAlignment="1">
      <alignment horizontal="center" vertical="center"/>
    </xf>
    <xf numFmtId="178" fontId="5" fillId="0" borderId="24" xfId="0" applyNumberFormat="1" applyFont="1" applyBorder="1" applyAlignment="1">
      <alignment horizontal="center" vertical="center"/>
    </xf>
    <xf numFmtId="0" fontId="5" fillId="0" borderId="16" xfId="0" applyFont="1" applyBorder="1" applyAlignment="1">
      <alignment horizontal="center" vertical="center" wrapText="1"/>
    </xf>
    <xf numFmtId="0" fontId="5" fillId="0" borderId="113" xfId="0" applyFont="1" applyBorder="1" applyAlignment="1">
      <alignment horizontal="center" vertical="center" wrapText="1"/>
    </xf>
    <xf numFmtId="0" fontId="24" fillId="0" borderId="0" xfId="6" applyFont="1" applyAlignment="1">
      <alignment horizontal="center" vertical="center"/>
    </xf>
    <xf numFmtId="49" fontId="9" fillId="3" borderId="62" xfId="0" applyNumberFormat="1" applyFont="1" applyFill="1" applyBorder="1" applyAlignment="1" applyProtection="1">
      <alignment horizontal="center" vertical="center" shrinkToFit="1"/>
      <protection locked="0"/>
    </xf>
    <xf numFmtId="49" fontId="9" fillId="3" borderId="109" xfId="0" applyNumberFormat="1" applyFont="1" applyFill="1" applyBorder="1" applyAlignment="1" applyProtection="1">
      <alignment horizontal="center" vertical="center" shrinkToFit="1"/>
      <protection locked="0"/>
    </xf>
    <xf numFmtId="0" fontId="9" fillId="0" borderId="25" xfId="0" applyFont="1" applyBorder="1" applyAlignment="1">
      <alignment horizontal="center" vertical="center" shrinkToFit="1"/>
    </xf>
    <xf numFmtId="0" fontId="9" fillId="0" borderId="23" xfId="0" applyFont="1" applyBorder="1" applyAlignment="1">
      <alignment horizontal="center" vertical="center" shrinkToFit="1"/>
    </xf>
    <xf numFmtId="49" fontId="9" fillId="3" borderId="63" xfId="0" applyNumberFormat="1" applyFont="1" applyFill="1" applyBorder="1" applyAlignment="1" applyProtection="1">
      <alignment horizontal="center" vertical="center" shrinkToFit="1"/>
      <protection locked="0"/>
    </xf>
    <xf numFmtId="0" fontId="9" fillId="3" borderId="63" xfId="0" applyFont="1" applyFill="1" applyBorder="1" applyAlignment="1" applyProtection="1">
      <alignment horizontal="center" vertical="center" shrinkToFit="1"/>
      <protection locked="0"/>
    </xf>
    <xf numFmtId="179" fontId="9" fillId="3" borderId="45" xfId="0" applyNumberFormat="1" applyFont="1" applyFill="1" applyBorder="1" applyAlignment="1">
      <alignment horizontal="center" vertical="center" shrinkToFit="1"/>
    </xf>
    <xf numFmtId="179" fontId="9" fillId="3" borderId="63" xfId="0" applyNumberFormat="1" applyFont="1" applyFill="1" applyBorder="1" applyAlignment="1">
      <alignment horizontal="center" vertical="center" shrinkToFit="1"/>
    </xf>
    <xf numFmtId="179" fontId="9" fillId="3" borderId="47" xfId="0" applyNumberFormat="1" applyFont="1" applyFill="1" applyBorder="1" applyAlignment="1">
      <alignment horizontal="center" vertical="center" shrinkToFit="1"/>
    </xf>
    <xf numFmtId="0" fontId="9" fillId="3" borderId="33" xfId="5" applyFont="1" applyFill="1" applyBorder="1" applyAlignment="1" applyProtection="1">
      <alignment horizontal="center" vertical="center" shrinkToFit="1"/>
      <protection locked="0" hidden="1"/>
    </xf>
    <xf numFmtId="0" fontId="9" fillId="0" borderId="45" xfId="5" applyFont="1" applyBorder="1" applyAlignment="1" applyProtection="1">
      <alignment horizontal="center" vertical="center"/>
      <protection hidden="1"/>
    </xf>
    <xf numFmtId="0" fontId="9" fillId="0" borderId="47" xfId="5" applyFont="1" applyBorder="1" applyAlignment="1" applyProtection="1">
      <alignment horizontal="center" vertical="center"/>
      <protection hidden="1"/>
    </xf>
    <xf numFmtId="178" fontId="33" fillId="6" borderId="113" xfId="5" applyNumberFormat="1" applyFont="1" applyFill="1" applyBorder="1" applyAlignment="1" applyProtection="1">
      <alignment horizontal="center" vertical="center"/>
      <protection hidden="1"/>
    </xf>
    <xf numFmtId="178" fontId="33" fillId="6" borderId="122" xfId="5" applyNumberFormat="1" applyFont="1" applyFill="1" applyBorder="1" applyAlignment="1" applyProtection="1">
      <alignment horizontal="center" vertical="center"/>
      <protection hidden="1"/>
    </xf>
    <xf numFmtId="178" fontId="33" fillId="6" borderId="64" xfId="5" applyNumberFormat="1" applyFont="1" applyFill="1" applyBorder="1" applyAlignment="1" applyProtection="1">
      <alignment horizontal="center" vertical="center"/>
      <protection hidden="1"/>
    </xf>
    <xf numFmtId="178" fontId="33" fillId="6" borderId="69" xfId="5" applyNumberFormat="1" applyFont="1" applyFill="1" applyBorder="1" applyAlignment="1" applyProtection="1">
      <alignment horizontal="center" vertical="center"/>
      <protection hidden="1"/>
    </xf>
    <xf numFmtId="0" fontId="9" fillId="3" borderId="44" xfId="5" applyFont="1" applyFill="1" applyBorder="1" applyAlignment="1" applyProtection="1">
      <alignment horizontal="center" vertical="center"/>
      <protection locked="0" hidden="1"/>
    </xf>
    <xf numFmtId="0" fontId="10" fillId="3" borderId="47" xfId="5" applyFont="1" applyFill="1" applyBorder="1" applyAlignment="1" applyProtection="1">
      <alignment horizontal="center" vertical="center"/>
      <protection locked="0" hidden="1"/>
    </xf>
    <xf numFmtId="0" fontId="9" fillId="3" borderId="33" xfId="5" applyFont="1" applyFill="1" applyBorder="1" applyAlignment="1" applyProtection="1">
      <alignment horizontal="center" vertical="center"/>
      <protection locked="0" hidden="1"/>
    </xf>
    <xf numFmtId="0" fontId="9" fillId="3" borderId="64" xfId="5" applyFont="1" applyFill="1" applyBorder="1" applyAlignment="1" applyProtection="1">
      <alignment horizontal="center" vertical="center" shrinkToFit="1"/>
      <protection locked="0" hidden="1"/>
    </xf>
    <xf numFmtId="0" fontId="9" fillId="0" borderId="68" xfId="5" applyFont="1" applyBorder="1" applyAlignment="1" applyProtection="1">
      <alignment horizontal="center" vertical="center"/>
      <protection hidden="1"/>
    </xf>
    <xf numFmtId="0" fontId="9" fillId="0" borderId="49" xfId="5" applyFont="1" applyBorder="1" applyAlignment="1" applyProtection="1">
      <alignment horizontal="center" vertical="center"/>
      <protection hidden="1"/>
    </xf>
    <xf numFmtId="0" fontId="9" fillId="3" borderId="48" xfId="5" applyFont="1" applyFill="1" applyBorder="1" applyAlignment="1" applyProtection="1">
      <alignment horizontal="center" vertical="center"/>
      <protection locked="0" hidden="1"/>
    </xf>
    <xf numFmtId="0" fontId="10" fillId="3" borderId="49" xfId="5" applyFont="1" applyFill="1" applyBorder="1" applyAlignment="1" applyProtection="1">
      <alignment horizontal="center" vertical="center"/>
      <protection locked="0" hidden="1"/>
    </xf>
    <xf numFmtId="0" fontId="9" fillId="3" borderId="64" xfId="5" applyFont="1" applyFill="1" applyBorder="1" applyAlignment="1" applyProtection="1">
      <alignment horizontal="center" vertical="center"/>
      <protection locked="0" hidden="1"/>
    </xf>
    <xf numFmtId="178" fontId="33" fillId="6" borderId="39" xfId="5" applyNumberFormat="1" applyFont="1" applyFill="1" applyBorder="1" applyAlignment="1" applyProtection="1">
      <alignment horizontal="center" vertical="center"/>
      <protection hidden="1"/>
    </xf>
    <xf numFmtId="178" fontId="33" fillId="6" borderId="70" xfId="5" applyNumberFormat="1" applyFont="1" applyFill="1" applyBorder="1" applyAlignment="1" applyProtection="1">
      <alignment horizontal="center" vertical="center"/>
      <protection hidden="1"/>
    </xf>
    <xf numFmtId="0" fontId="9" fillId="3" borderId="32" xfId="5" applyFont="1" applyFill="1" applyBorder="1" applyAlignment="1" applyProtection="1">
      <alignment horizontal="center" vertical="center" shrinkToFit="1"/>
      <protection locked="0" hidden="1"/>
    </xf>
    <xf numFmtId="0" fontId="9" fillId="0" borderId="32" xfId="5" applyFont="1" applyBorder="1" applyAlignment="1" applyProtection="1">
      <alignment horizontal="center" vertical="center"/>
      <protection hidden="1"/>
    </xf>
    <xf numFmtId="0" fontId="9" fillId="3" borderId="41" xfId="5" applyFont="1" applyFill="1" applyBorder="1" applyAlignment="1" applyProtection="1">
      <alignment horizontal="center" vertical="center"/>
      <protection locked="0" hidden="1"/>
    </xf>
    <xf numFmtId="0" fontId="10" fillId="3" borderId="50" xfId="5" applyFont="1" applyFill="1" applyBorder="1" applyAlignment="1" applyProtection="1">
      <alignment horizontal="center" vertical="center"/>
      <protection locked="0" hidden="1"/>
    </xf>
    <xf numFmtId="0" fontId="9" fillId="3" borderId="32" xfId="5" applyFont="1" applyFill="1" applyBorder="1" applyAlignment="1" applyProtection="1">
      <alignment horizontal="center" vertical="center"/>
      <protection locked="0" hidden="1"/>
    </xf>
    <xf numFmtId="0" fontId="5" fillId="0" borderId="34" xfId="5" applyFont="1" applyBorder="1" applyAlignment="1">
      <alignment horizontal="center" vertical="center" wrapText="1"/>
    </xf>
    <xf numFmtId="0" fontId="5" fillId="0" borderId="34" xfId="5" applyFont="1" applyBorder="1" applyAlignment="1">
      <alignment horizontal="center" vertical="center"/>
    </xf>
    <xf numFmtId="0" fontId="5" fillId="0" borderId="20" xfId="5" applyFont="1" applyBorder="1" applyAlignment="1">
      <alignment horizontal="center" vertical="center"/>
    </xf>
    <xf numFmtId="0" fontId="5" fillId="0" borderId="36" xfId="5" applyFont="1" applyBorder="1" applyAlignment="1">
      <alignment horizontal="center" vertical="center"/>
    </xf>
    <xf numFmtId="0" fontId="5" fillId="0" borderId="22" xfId="5" applyFont="1" applyBorder="1" applyAlignment="1">
      <alignment horizontal="center" vertical="center"/>
    </xf>
    <xf numFmtId="0" fontId="5" fillId="0" borderId="40" xfId="5" applyFont="1" applyBorder="1" applyAlignment="1">
      <alignment horizontal="center" vertical="center"/>
    </xf>
    <xf numFmtId="0" fontId="29" fillId="0" borderId="0" xfId="5" applyFont="1" applyAlignment="1">
      <alignment horizontal="center" vertical="center"/>
    </xf>
    <xf numFmtId="0" fontId="30" fillId="0" borderId="0" xfId="5" applyFont="1" applyAlignment="1">
      <alignment horizontal="left" vertical="center" wrapText="1"/>
    </xf>
    <xf numFmtId="0" fontId="32" fillId="0" borderId="0" xfId="5" applyFont="1" applyAlignment="1">
      <alignment horizontal="left" vertical="center" wrapText="1"/>
    </xf>
    <xf numFmtId="0" fontId="5" fillId="0" borderId="91" xfId="5" applyFont="1" applyBorder="1" applyAlignment="1">
      <alignment horizontal="center" vertical="center"/>
    </xf>
    <xf numFmtId="0" fontId="5" fillId="0" borderId="93" xfId="5" applyFont="1" applyBorder="1" applyAlignment="1">
      <alignment horizontal="center" vertical="center"/>
    </xf>
    <xf numFmtId="0" fontId="5" fillId="0" borderId="20" xfId="5" applyFont="1" applyBorder="1" applyAlignment="1">
      <alignment horizontal="center" vertical="center" wrapText="1"/>
    </xf>
    <xf numFmtId="14" fontId="5" fillId="0" borderId="18" xfId="0" applyNumberFormat="1" applyFont="1" applyBorder="1" applyAlignment="1">
      <alignment horizontal="center" vertical="center" wrapText="1"/>
    </xf>
    <xf numFmtId="0" fontId="5" fillId="0" borderId="118" xfId="0" applyFont="1" applyBorder="1" applyAlignment="1">
      <alignment horizontal="center" vertical="center" wrapText="1"/>
    </xf>
    <xf numFmtId="0" fontId="5" fillId="0" borderId="21" xfId="0" applyFont="1" applyBorder="1" applyAlignment="1">
      <alignment horizontal="center" vertical="center" wrapText="1"/>
    </xf>
    <xf numFmtId="14" fontId="5" fillId="0" borderId="100" xfId="0" applyNumberFormat="1" applyFont="1" applyBorder="1" applyAlignment="1">
      <alignment horizontal="center" vertical="center" wrapText="1"/>
    </xf>
    <xf numFmtId="14" fontId="5" fillId="0" borderId="132" xfId="0" applyNumberFormat="1" applyFont="1" applyBorder="1" applyAlignment="1">
      <alignment horizontal="center" vertical="center" wrapText="1"/>
    </xf>
    <xf numFmtId="14" fontId="5" fillId="0" borderId="118" xfId="0" applyNumberFormat="1" applyFont="1" applyBorder="1" applyAlignment="1">
      <alignment horizontal="center" vertical="center" wrapText="1"/>
    </xf>
    <xf numFmtId="14" fontId="5" fillId="0" borderId="39" xfId="0" applyNumberFormat="1" applyFont="1" applyBorder="1" applyAlignment="1">
      <alignment horizontal="center" vertical="center" wrapText="1"/>
    </xf>
    <xf numFmtId="14" fontId="5" fillId="0" borderId="21" xfId="0" applyNumberFormat="1" applyFont="1" applyBorder="1" applyAlignment="1">
      <alignment horizontal="center" vertical="center" wrapText="1"/>
    </xf>
  </cellXfs>
  <cellStyles count="8">
    <cellStyle name="桁区切り" xfId="1" builtinId="6"/>
    <cellStyle name="標準" xfId="0" builtinId="0"/>
    <cellStyle name="標準 14" xfId="3" xr:uid="{00000000-0005-0000-0000-000002000000}"/>
    <cellStyle name="標準 14 2" xfId="6" xr:uid="{00000000-0005-0000-0000-000003000000}"/>
    <cellStyle name="標準 2" xfId="2" xr:uid="{00000000-0005-0000-0000-000004000000}"/>
    <cellStyle name="標準 2 2" xfId="5" xr:uid="{00000000-0005-0000-0000-000005000000}"/>
    <cellStyle name="標準 3" xfId="4" xr:uid="{00000000-0005-0000-0000-000006000000}"/>
    <cellStyle name="標準 3 2" xfId="7" xr:uid="{00000000-0005-0000-0000-000007000000}"/>
  </cellStyles>
  <dxfs count="140">
    <dxf>
      <fill>
        <patternFill>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ont>
        <b/>
        <i val="0"/>
        <color auto="1"/>
      </font>
    </dxf>
    <dxf>
      <fill>
        <patternFill>
          <fgColor indexed="64"/>
          <bgColor theme="1"/>
        </patternFill>
      </fill>
    </dxf>
    <dxf>
      <fill>
        <patternFill>
          <fgColor indexed="64"/>
          <bgColor theme="1"/>
        </patternFill>
      </fill>
    </dxf>
    <dxf>
      <fill>
        <patternFill>
          <bgColor theme="1"/>
        </patternFill>
      </fill>
    </dxf>
    <dxf>
      <fill>
        <patternFill>
          <bgColor theme="1"/>
        </patternFill>
      </fill>
    </dxf>
    <dxf>
      <font>
        <color theme="1"/>
      </font>
      <fill>
        <patternFill>
          <bgColor theme="1"/>
        </patternFill>
      </fill>
    </dxf>
    <dxf>
      <fill>
        <patternFill>
          <fgColor indexed="64"/>
          <bgColor theme="1"/>
        </patternFill>
      </fill>
    </dxf>
    <dxf>
      <fill>
        <patternFill>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bgColor theme="1"/>
        </patternFill>
      </fill>
    </dxf>
    <dxf>
      <fill>
        <patternFill>
          <bgColor theme="1"/>
        </patternFill>
      </fill>
    </dxf>
  </dxfs>
  <tableStyles count="0" defaultTableStyle="TableStyleMedium9" defaultPivotStyle="PivotStyleLight16"/>
  <colors>
    <mruColors>
      <color rgb="FFFFFF99"/>
      <color rgb="FF0000FF"/>
      <color rgb="FFFF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Radio" firstButton="1" fmlaLink="$AF$17"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fmlaLink="$AG$18" lockText="1" noThreeD="1"/>
</file>

<file path=xl/ctrlProps/ctrlProp101.xml><?xml version="1.0" encoding="utf-8"?>
<formControlPr xmlns="http://schemas.microsoft.com/office/spreadsheetml/2009/9/main" objectType="CheckBox" fmlaLink="$AG$19" lockText="1" noThreeD="1"/>
</file>

<file path=xl/ctrlProps/ctrlProp102.xml><?xml version="1.0" encoding="utf-8"?>
<formControlPr xmlns="http://schemas.microsoft.com/office/spreadsheetml/2009/9/main" objectType="CheckBox" fmlaLink="$AG$10" lockText="1" noThreeD="1"/>
</file>

<file path=xl/ctrlProps/ctrlProp103.xml><?xml version="1.0" encoding="utf-8"?>
<formControlPr xmlns="http://schemas.microsoft.com/office/spreadsheetml/2009/9/main" objectType="CheckBox" fmlaLink="$AG$11" lockText="1" noThreeD="1"/>
</file>

<file path=xl/ctrlProps/ctrlProp104.xml><?xml version="1.0" encoding="utf-8"?>
<formControlPr xmlns="http://schemas.microsoft.com/office/spreadsheetml/2009/9/main" objectType="CheckBox" fmlaLink="$AG$14" lockText="1" noThreeD="1"/>
</file>

<file path=xl/ctrlProps/ctrlProp105.xml><?xml version="1.0" encoding="utf-8"?>
<formControlPr xmlns="http://schemas.microsoft.com/office/spreadsheetml/2009/9/main" objectType="CheckBox" fmlaLink="$AG$12" lockText="1" noThreeD="1"/>
</file>

<file path=xl/ctrlProps/ctrlProp106.xml><?xml version="1.0" encoding="utf-8"?>
<formControlPr xmlns="http://schemas.microsoft.com/office/spreadsheetml/2009/9/main" objectType="CheckBox" fmlaLink="$AG$13" lockText="1" noThreeD="1"/>
</file>

<file path=xl/ctrlProps/ctrlProp107.xml><?xml version="1.0" encoding="utf-8"?>
<formControlPr xmlns="http://schemas.microsoft.com/office/spreadsheetml/2009/9/main" objectType="CheckBox" fmlaLink="$AG$35" lockText="1" noThreeD="1"/>
</file>

<file path=xl/ctrlProps/ctrlProp108.xml><?xml version="1.0" encoding="utf-8"?>
<formControlPr xmlns="http://schemas.microsoft.com/office/spreadsheetml/2009/9/main" objectType="CheckBox" fmlaLink="$AG$36" lockText="1" noThreeD="1"/>
</file>

<file path=xl/ctrlProps/ctrlProp109.xml><?xml version="1.0" encoding="utf-8"?>
<formControlPr xmlns="http://schemas.microsoft.com/office/spreadsheetml/2009/9/main" objectType="CheckBox" fmlaLink="$AG$37" lockText="1" noThreeD="1"/>
</file>

<file path=xl/ctrlProps/ctrlProp11.xml><?xml version="1.0" encoding="utf-8"?>
<formControlPr xmlns="http://schemas.microsoft.com/office/spreadsheetml/2009/9/main" objectType="CheckBox" fmlaLink="$AG$8" lockText="1" noThreeD="1"/>
</file>

<file path=xl/ctrlProps/ctrlProp110.xml><?xml version="1.0" encoding="utf-8"?>
<formControlPr xmlns="http://schemas.microsoft.com/office/spreadsheetml/2009/9/main" objectType="CheckBox" fmlaLink="$AG$38" lockText="1" noThreeD="1"/>
</file>

<file path=xl/ctrlProps/ctrlProp111.xml><?xml version="1.0" encoding="utf-8"?>
<formControlPr xmlns="http://schemas.microsoft.com/office/spreadsheetml/2009/9/main" objectType="CheckBox" fmlaLink="$AG$39" lockText="1" noThreeD="1"/>
</file>

<file path=xl/ctrlProps/ctrlProp112.xml><?xml version="1.0" encoding="utf-8"?>
<formControlPr xmlns="http://schemas.microsoft.com/office/spreadsheetml/2009/9/main" objectType="CheckBox" fmlaLink="$AG$22" lockText="1" noThreeD="1"/>
</file>

<file path=xl/ctrlProps/ctrlProp113.xml><?xml version="1.0" encoding="utf-8"?>
<formControlPr xmlns="http://schemas.microsoft.com/office/spreadsheetml/2009/9/main" objectType="CheckBox" fmlaLink="$AG$23" lockText="1" noThreeD="1"/>
</file>

<file path=xl/ctrlProps/ctrlProp114.xml><?xml version="1.0" encoding="utf-8"?>
<formControlPr xmlns="http://schemas.microsoft.com/office/spreadsheetml/2009/9/main" objectType="CheckBox" fmlaLink="$AG$24" lockText="1" noThreeD="1"/>
</file>

<file path=xl/ctrlProps/ctrlProp115.xml><?xml version="1.0" encoding="utf-8"?>
<formControlPr xmlns="http://schemas.microsoft.com/office/spreadsheetml/2009/9/main" objectType="CheckBox" fmlaLink="$AG$25" lockText="1" noThreeD="1"/>
</file>

<file path=xl/ctrlProps/ctrlProp116.xml><?xml version="1.0" encoding="utf-8"?>
<formControlPr xmlns="http://schemas.microsoft.com/office/spreadsheetml/2009/9/main" objectType="CheckBox" fmlaLink="$AG$26" lockText="1" noThreeD="1"/>
</file>

<file path=xl/ctrlProps/ctrlProp117.xml><?xml version="1.0" encoding="utf-8"?>
<formControlPr xmlns="http://schemas.microsoft.com/office/spreadsheetml/2009/9/main" objectType="CheckBox" fmlaLink="$AG$27" lockText="1" noThreeD="1"/>
</file>

<file path=xl/ctrlProps/ctrlProp118.xml><?xml version="1.0" encoding="utf-8"?>
<formControlPr xmlns="http://schemas.microsoft.com/office/spreadsheetml/2009/9/main" objectType="CheckBox" fmlaLink="$AG$28" lockText="1" noThreeD="1"/>
</file>

<file path=xl/ctrlProps/ctrlProp119.xml><?xml version="1.0" encoding="utf-8"?>
<formControlPr xmlns="http://schemas.microsoft.com/office/spreadsheetml/2009/9/main" objectType="CheckBox" fmlaLink="$AG$29" lockText="1" noThreeD="1"/>
</file>

<file path=xl/ctrlProps/ctrlProp12.xml><?xml version="1.0" encoding="utf-8"?>
<formControlPr xmlns="http://schemas.microsoft.com/office/spreadsheetml/2009/9/main" objectType="CheckBox" fmlaLink="$AG$9" lockText="1" noThreeD="1"/>
</file>

<file path=xl/ctrlProps/ctrlProp120.xml><?xml version="1.0" encoding="utf-8"?>
<formControlPr xmlns="http://schemas.microsoft.com/office/spreadsheetml/2009/9/main" objectType="CheckBox" fmlaLink="$AG$39" lockText="1" noThreeD="1"/>
</file>

<file path=xl/ctrlProps/ctrlProp121.xml><?xml version="1.0" encoding="utf-8"?>
<formControlPr xmlns="http://schemas.microsoft.com/office/spreadsheetml/2009/9/main" objectType="CheckBox" fmlaLink="$AG$39" lockText="1" noThreeD="1"/>
</file>

<file path=xl/ctrlProps/ctrlProp122.xml><?xml version="1.0" encoding="utf-8"?>
<formControlPr xmlns="http://schemas.microsoft.com/office/spreadsheetml/2009/9/main" objectType="CheckBox" fmlaLink="$AG$39" lockText="1" noThreeD="1"/>
</file>

<file path=xl/ctrlProps/ctrlProp123.xml><?xml version="1.0" encoding="utf-8"?>
<formControlPr xmlns="http://schemas.microsoft.com/office/spreadsheetml/2009/9/main" objectType="CheckBox" fmlaLink="$AG$39" lockText="1" noThreeD="1"/>
</file>

<file path=xl/ctrlProps/ctrlProp124.xml><?xml version="1.0" encoding="utf-8"?>
<formControlPr xmlns="http://schemas.microsoft.com/office/spreadsheetml/2009/9/main" objectType="CheckBox" fmlaLink="$AG$44" lockText="1" noThreeD="1"/>
</file>

<file path=xl/ctrlProps/ctrlProp125.xml><?xml version="1.0" encoding="utf-8"?>
<formControlPr xmlns="http://schemas.microsoft.com/office/spreadsheetml/2009/9/main" objectType="CheckBox" fmlaLink="$AG$39" lockText="1" noThreeD="1"/>
</file>

<file path=xl/ctrlProps/ctrlProp126.xml><?xml version="1.0" encoding="utf-8"?>
<formControlPr xmlns="http://schemas.microsoft.com/office/spreadsheetml/2009/9/main" objectType="CheckBox" fmlaLink="$AG$40" lockText="1" noThreeD="1"/>
</file>

<file path=xl/ctrlProps/ctrlProp127.xml><?xml version="1.0" encoding="utf-8"?>
<formControlPr xmlns="http://schemas.microsoft.com/office/spreadsheetml/2009/9/main" objectType="CheckBox" fmlaLink="$AG$41" lockText="1" noThreeD="1"/>
</file>

<file path=xl/ctrlProps/ctrlProp128.xml><?xml version="1.0" encoding="utf-8"?>
<formControlPr xmlns="http://schemas.microsoft.com/office/spreadsheetml/2009/9/main" objectType="CheckBox" fmlaLink="$AG$42" lockText="1" noThreeD="1"/>
</file>

<file path=xl/ctrlProps/ctrlProp129.xml><?xml version="1.0" encoding="utf-8"?>
<formControlPr xmlns="http://schemas.microsoft.com/office/spreadsheetml/2009/9/main" objectType="CheckBox" fmlaLink="$AG$43" lockText="1" noThreeD="1"/>
</file>

<file path=xl/ctrlProps/ctrlProp13.xml><?xml version="1.0" encoding="utf-8"?>
<formControlPr xmlns="http://schemas.microsoft.com/office/spreadsheetml/2009/9/main" objectType="CheckBox" fmlaLink="$AG$15" lockText="1" noThreeD="1"/>
</file>

<file path=xl/ctrlProps/ctrlProp130.xml><?xml version="1.0" encoding="utf-8"?>
<formControlPr xmlns="http://schemas.microsoft.com/office/spreadsheetml/2009/9/main" objectType="Radio" firstButton="1" fmlaLink="$AG$3" lockText="1" noThreeD="1"/>
</file>

<file path=xl/ctrlProps/ctrlProp131.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CheckBox" fmlaLink="$AG$16" lockText="1" noThreeD="1"/>
</file>

<file path=xl/ctrlProps/ctrlProp15.xml><?xml version="1.0" encoding="utf-8"?>
<formControlPr xmlns="http://schemas.microsoft.com/office/spreadsheetml/2009/9/main" objectType="CheckBox" fmlaLink="$AG$17" lockText="1" noThreeD="1"/>
</file>

<file path=xl/ctrlProps/ctrlProp16.xml><?xml version="1.0" encoding="utf-8"?>
<formControlPr xmlns="http://schemas.microsoft.com/office/spreadsheetml/2009/9/main" objectType="CheckBox" fmlaLink="$AG$18" lockText="1" noThreeD="1"/>
</file>

<file path=xl/ctrlProps/ctrlProp17.xml><?xml version="1.0" encoding="utf-8"?>
<formControlPr xmlns="http://schemas.microsoft.com/office/spreadsheetml/2009/9/main" objectType="CheckBox" fmlaLink="$AG$19" lockText="1" noThreeD="1"/>
</file>

<file path=xl/ctrlProps/ctrlProp18.xml><?xml version="1.0" encoding="utf-8"?>
<formControlPr xmlns="http://schemas.microsoft.com/office/spreadsheetml/2009/9/main" objectType="CheckBox" fmlaLink="$AG$10" lockText="1" noThreeD="1"/>
</file>

<file path=xl/ctrlProps/ctrlProp19.xml><?xml version="1.0" encoding="utf-8"?>
<formControlPr xmlns="http://schemas.microsoft.com/office/spreadsheetml/2009/9/main" objectType="CheckBox" fmlaLink="$AG$1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AG$14" lockText="1" noThreeD="1"/>
</file>

<file path=xl/ctrlProps/ctrlProp21.xml><?xml version="1.0" encoding="utf-8"?>
<formControlPr xmlns="http://schemas.microsoft.com/office/spreadsheetml/2009/9/main" objectType="CheckBox" fmlaLink="$AG$12" lockText="1" noThreeD="1"/>
</file>

<file path=xl/ctrlProps/ctrlProp22.xml><?xml version="1.0" encoding="utf-8"?>
<formControlPr xmlns="http://schemas.microsoft.com/office/spreadsheetml/2009/9/main" objectType="CheckBox" fmlaLink="$AG$13" lockText="1" noThreeD="1"/>
</file>

<file path=xl/ctrlProps/ctrlProp23.xml><?xml version="1.0" encoding="utf-8"?>
<formControlPr xmlns="http://schemas.microsoft.com/office/spreadsheetml/2009/9/main" objectType="CheckBox" fmlaLink="$AG$8" lockText="1" noThreeD="1"/>
</file>

<file path=xl/ctrlProps/ctrlProp24.xml><?xml version="1.0" encoding="utf-8"?>
<formControlPr xmlns="http://schemas.microsoft.com/office/spreadsheetml/2009/9/main" objectType="CheckBox" fmlaLink="$AG$9" lockText="1" noThreeD="1"/>
</file>

<file path=xl/ctrlProps/ctrlProp25.xml><?xml version="1.0" encoding="utf-8"?>
<formControlPr xmlns="http://schemas.microsoft.com/office/spreadsheetml/2009/9/main" objectType="CheckBox" fmlaLink="$AG$15" lockText="1" noThreeD="1"/>
</file>

<file path=xl/ctrlProps/ctrlProp26.xml><?xml version="1.0" encoding="utf-8"?>
<formControlPr xmlns="http://schemas.microsoft.com/office/spreadsheetml/2009/9/main" objectType="CheckBox" fmlaLink="$AG$16" lockText="1" noThreeD="1"/>
</file>

<file path=xl/ctrlProps/ctrlProp27.xml><?xml version="1.0" encoding="utf-8"?>
<formControlPr xmlns="http://schemas.microsoft.com/office/spreadsheetml/2009/9/main" objectType="CheckBox" fmlaLink="$AG$17" lockText="1" noThreeD="1"/>
</file>

<file path=xl/ctrlProps/ctrlProp28.xml><?xml version="1.0" encoding="utf-8"?>
<formControlPr xmlns="http://schemas.microsoft.com/office/spreadsheetml/2009/9/main" objectType="CheckBox" fmlaLink="$AG$18" lockText="1" noThreeD="1"/>
</file>

<file path=xl/ctrlProps/ctrlProp29.xml><?xml version="1.0" encoding="utf-8"?>
<formControlPr xmlns="http://schemas.microsoft.com/office/spreadsheetml/2009/9/main" objectType="CheckBox" fmlaLink="$AG$19"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AG$10" lockText="1" noThreeD="1"/>
</file>

<file path=xl/ctrlProps/ctrlProp31.xml><?xml version="1.0" encoding="utf-8"?>
<formControlPr xmlns="http://schemas.microsoft.com/office/spreadsheetml/2009/9/main" objectType="CheckBox" fmlaLink="$AG$11" lockText="1" noThreeD="1"/>
</file>

<file path=xl/ctrlProps/ctrlProp32.xml><?xml version="1.0" encoding="utf-8"?>
<formControlPr xmlns="http://schemas.microsoft.com/office/spreadsheetml/2009/9/main" objectType="CheckBox" fmlaLink="$AG$14" lockText="1" noThreeD="1"/>
</file>

<file path=xl/ctrlProps/ctrlProp33.xml><?xml version="1.0" encoding="utf-8"?>
<formControlPr xmlns="http://schemas.microsoft.com/office/spreadsheetml/2009/9/main" objectType="CheckBox" fmlaLink="$AG$12" lockText="1" noThreeD="1"/>
</file>

<file path=xl/ctrlProps/ctrlProp34.xml><?xml version="1.0" encoding="utf-8"?>
<formControlPr xmlns="http://schemas.microsoft.com/office/spreadsheetml/2009/9/main" objectType="CheckBox" fmlaLink="$AG$13" lockText="1" noThreeD="1"/>
</file>

<file path=xl/ctrlProps/ctrlProp35.xml><?xml version="1.0" encoding="utf-8"?>
<formControlPr xmlns="http://schemas.microsoft.com/office/spreadsheetml/2009/9/main" objectType="CheckBox" fmlaLink="$AG$8" lockText="1" noThreeD="1"/>
</file>

<file path=xl/ctrlProps/ctrlProp36.xml><?xml version="1.0" encoding="utf-8"?>
<formControlPr xmlns="http://schemas.microsoft.com/office/spreadsheetml/2009/9/main" objectType="CheckBox" fmlaLink="$AG$9" lockText="1" noThreeD="1"/>
</file>

<file path=xl/ctrlProps/ctrlProp37.xml><?xml version="1.0" encoding="utf-8"?>
<formControlPr xmlns="http://schemas.microsoft.com/office/spreadsheetml/2009/9/main" objectType="CheckBox" fmlaLink="$AG$15" lockText="1" noThreeD="1"/>
</file>

<file path=xl/ctrlProps/ctrlProp38.xml><?xml version="1.0" encoding="utf-8"?>
<formControlPr xmlns="http://schemas.microsoft.com/office/spreadsheetml/2009/9/main" objectType="CheckBox" fmlaLink="$AG$16" lockText="1" noThreeD="1"/>
</file>

<file path=xl/ctrlProps/ctrlProp39.xml><?xml version="1.0" encoding="utf-8"?>
<formControlPr xmlns="http://schemas.microsoft.com/office/spreadsheetml/2009/9/main" objectType="CheckBox" fmlaLink="$AG$17"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CheckBox" fmlaLink="$AG$18" lockText="1" noThreeD="1"/>
</file>

<file path=xl/ctrlProps/ctrlProp41.xml><?xml version="1.0" encoding="utf-8"?>
<formControlPr xmlns="http://schemas.microsoft.com/office/spreadsheetml/2009/9/main" objectType="CheckBox" fmlaLink="$AG$19" lockText="1" noThreeD="1"/>
</file>

<file path=xl/ctrlProps/ctrlProp42.xml><?xml version="1.0" encoding="utf-8"?>
<formControlPr xmlns="http://schemas.microsoft.com/office/spreadsheetml/2009/9/main" objectType="CheckBox" fmlaLink="$AG$10" lockText="1" noThreeD="1"/>
</file>

<file path=xl/ctrlProps/ctrlProp43.xml><?xml version="1.0" encoding="utf-8"?>
<formControlPr xmlns="http://schemas.microsoft.com/office/spreadsheetml/2009/9/main" objectType="CheckBox" fmlaLink="$AG$11" lockText="1" noThreeD="1"/>
</file>

<file path=xl/ctrlProps/ctrlProp44.xml><?xml version="1.0" encoding="utf-8"?>
<formControlPr xmlns="http://schemas.microsoft.com/office/spreadsheetml/2009/9/main" objectType="CheckBox" fmlaLink="$AG$14" lockText="1" noThreeD="1"/>
</file>

<file path=xl/ctrlProps/ctrlProp45.xml><?xml version="1.0" encoding="utf-8"?>
<formControlPr xmlns="http://schemas.microsoft.com/office/spreadsheetml/2009/9/main" objectType="CheckBox" fmlaLink="$AG$12" lockText="1" noThreeD="1"/>
</file>

<file path=xl/ctrlProps/ctrlProp46.xml><?xml version="1.0" encoding="utf-8"?>
<formControlPr xmlns="http://schemas.microsoft.com/office/spreadsheetml/2009/9/main" objectType="CheckBox" fmlaLink="$AG$13" lockText="1" noThreeD="1"/>
</file>

<file path=xl/ctrlProps/ctrlProp47.xml><?xml version="1.0" encoding="utf-8"?>
<formControlPr xmlns="http://schemas.microsoft.com/office/spreadsheetml/2009/9/main" objectType="CheckBox" fmlaLink="$AG$8" lockText="1" noThreeD="1"/>
</file>

<file path=xl/ctrlProps/ctrlProp48.xml><?xml version="1.0" encoding="utf-8"?>
<formControlPr xmlns="http://schemas.microsoft.com/office/spreadsheetml/2009/9/main" objectType="CheckBox" fmlaLink="$AG$9" lockText="1" noThreeD="1"/>
</file>

<file path=xl/ctrlProps/ctrlProp49.xml><?xml version="1.0" encoding="utf-8"?>
<formControlPr xmlns="http://schemas.microsoft.com/office/spreadsheetml/2009/9/main" objectType="CheckBox" fmlaLink="$AG$15"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fmlaLink="$AG$16" lockText="1" noThreeD="1"/>
</file>

<file path=xl/ctrlProps/ctrlProp51.xml><?xml version="1.0" encoding="utf-8"?>
<formControlPr xmlns="http://schemas.microsoft.com/office/spreadsheetml/2009/9/main" objectType="CheckBox" fmlaLink="$AG$17" lockText="1" noThreeD="1"/>
</file>

<file path=xl/ctrlProps/ctrlProp52.xml><?xml version="1.0" encoding="utf-8"?>
<formControlPr xmlns="http://schemas.microsoft.com/office/spreadsheetml/2009/9/main" objectType="CheckBox" fmlaLink="$AG$18" lockText="1" noThreeD="1"/>
</file>

<file path=xl/ctrlProps/ctrlProp53.xml><?xml version="1.0" encoding="utf-8"?>
<formControlPr xmlns="http://schemas.microsoft.com/office/spreadsheetml/2009/9/main" objectType="CheckBox" fmlaLink="$AG$19" lockText="1" noThreeD="1"/>
</file>

<file path=xl/ctrlProps/ctrlProp54.xml><?xml version="1.0" encoding="utf-8"?>
<formControlPr xmlns="http://schemas.microsoft.com/office/spreadsheetml/2009/9/main" objectType="CheckBox" fmlaLink="$AG$10" lockText="1" noThreeD="1"/>
</file>

<file path=xl/ctrlProps/ctrlProp55.xml><?xml version="1.0" encoding="utf-8"?>
<formControlPr xmlns="http://schemas.microsoft.com/office/spreadsheetml/2009/9/main" objectType="CheckBox" fmlaLink="$AG$11" lockText="1" noThreeD="1"/>
</file>

<file path=xl/ctrlProps/ctrlProp56.xml><?xml version="1.0" encoding="utf-8"?>
<formControlPr xmlns="http://schemas.microsoft.com/office/spreadsheetml/2009/9/main" objectType="CheckBox" fmlaLink="$AG$14" lockText="1" noThreeD="1"/>
</file>

<file path=xl/ctrlProps/ctrlProp57.xml><?xml version="1.0" encoding="utf-8"?>
<formControlPr xmlns="http://schemas.microsoft.com/office/spreadsheetml/2009/9/main" objectType="CheckBox" fmlaLink="$AG$12" lockText="1" noThreeD="1"/>
</file>

<file path=xl/ctrlProps/ctrlProp58.xml><?xml version="1.0" encoding="utf-8"?>
<formControlPr xmlns="http://schemas.microsoft.com/office/spreadsheetml/2009/9/main" objectType="CheckBox" fmlaLink="$AG$13" lockText="1" noThreeD="1"/>
</file>

<file path=xl/ctrlProps/ctrlProp59.xml><?xml version="1.0" encoding="utf-8"?>
<formControlPr xmlns="http://schemas.microsoft.com/office/spreadsheetml/2009/9/main" objectType="CheckBox" fmlaLink="$AG$8"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AG$9" lockText="1" noThreeD="1"/>
</file>

<file path=xl/ctrlProps/ctrlProp61.xml><?xml version="1.0" encoding="utf-8"?>
<formControlPr xmlns="http://schemas.microsoft.com/office/spreadsheetml/2009/9/main" objectType="CheckBox" fmlaLink="$AG$15" lockText="1" noThreeD="1"/>
</file>

<file path=xl/ctrlProps/ctrlProp62.xml><?xml version="1.0" encoding="utf-8"?>
<formControlPr xmlns="http://schemas.microsoft.com/office/spreadsheetml/2009/9/main" objectType="CheckBox" fmlaLink="$AG$16" lockText="1" noThreeD="1"/>
</file>

<file path=xl/ctrlProps/ctrlProp63.xml><?xml version="1.0" encoding="utf-8"?>
<formControlPr xmlns="http://schemas.microsoft.com/office/spreadsheetml/2009/9/main" objectType="CheckBox" fmlaLink="$AG$17" lockText="1" noThreeD="1"/>
</file>

<file path=xl/ctrlProps/ctrlProp64.xml><?xml version="1.0" encoding="utf-8"?>
<formControlPr xmlns="http://schemas.microsoft.com/office/spreadsheetml/2009/9/main" objectType="CheckBox" fmlaLink="$AG$18" lockText="1" noThreeD="1"/>
</file>

<file path=xl/ctrlProps/ctrlProp65.xml><?xml version="1.0" encoding="utf-8"?>
<formControlPr xmlns="http://schemas.microsoft.com/office/spreadsheetml/2009/9/main" objectType="CheckBox" fmlaLink="$AG$19" lockText="1" noThreeD="1"/>
</file>

<file path=xl/ctrlProps/ctrlProp66.xml><?xml version="1.0" encoding="utf-8"?>
<formControlPr xmlns="http://schemas.microsoft.com/office/spreadsheetml/2009/9/main" objectType="CheckBox" fmlaLink="$AG$10" lockText="1" noThreeD="1"/>
</file>

<file path=xl/ctrlProps/ctrlProp67.xml><?xml version="1.0" encoding="utf-8"?>
<formControlPr xmlns="http://schemas.microsoft.com/office/spreadsheetml/2009/9/main" objectType="CheckBox" fmlaLink="$AG$11" lockText="1" noThreeD="1"/>
</file>

<file path=xl/ctrlProps/ctrlProp68.xml><?xml version="1.0" encoding="utf-8"?>
<formControlPr xmlns="http://schemas.microsoft.com/office/spreadsheetml/2009/9/main" objectType="CheckBox" fmlaLink="$AG$14" lockText="1" noThreeD="1"/>
</file>

<file path=xl/ctrlProps/ctrlProp69.xml><?xml version="1.0" encoding="utf-8"?>
<formControlPr xmlns="http://schemas.microsoft.com/office/spreadsheetml/2009/9/main" objectType="CheckBox" fmlaLink="$AG$12"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CheckBox" fmlaLink="$AG$13" lockText="1" noThreeD="1"/>
</file>

<file path=xl/ctrlProps/ctrlProp71.xml><?xml version="1.0" encoding="utf-8"?>
<formControlPr xmlns="http://schemas.microsoft.com/office/spreadsheetml/2009/9/main" objectType="CheckBox" fmlaLink="$AG$8" lockText="1" noThreeD="1"/>
</file>

<file path=xl/ctrlProps/ctrlProp72.xml><?xml version="1.0" encoding="utf-8"?>
<formControlPr xmlns="http://schemas.microsoft.com/office/spreadsheetml/2009/9/main" objectType="CheckBox" fmlaLink="$AG$9" lockText="1" noThreeD="1"/>
</file>

<file path=xl/ctrlProps/ctrlProp73.xml><?xml version="1.0" encoding="utf-8"?>
<formControlPr xmlns="http://schemas.microsoft.com/office/spreadsheetml/2009/9/main" objectType="CheckBox" fmlaLink="$AG$15" lockText="1" noThreeD="1"/>
</file>

<file path=xl/ctrlProps/ctrlProp74.xml><?xml version="1.0" encoding="utf-8"?>
<formControlPr xmlns="http://schemas.microsoft.com/office/spreadsheetml/2009/9/main" objectType="CheckBox" fmlaLink="$AG$16" lockText="1" noThreeD="1"/>
</file>

<file path=xl/ctrlProps/ctrlProp75.xml><?xml version="1.0" encoding="utf-8"?>
<formControlPr xmlns="http://schemas.microsoft.com/office/spreadsheetml/2009/9/main" objectType="CheckBox" fmlaLink="$AG$17" lockText="1" noThreeD="1"/>
</file>

<file path=xl/ctrlProps/ctrlProp76.xml><?xml version="1.0" encoding="utf-8"?>
<formControlPr xmlns="http://schemas.microsoft.com/office/spreadsheetml/2009/9/main" objectType="CheckBox" fmlaLink="$AG$18" lockText="1" noThreeD="1"/>
</file>

<file path=xl/ctrlProps/ctrlProp77.xml><?xml version="1.0" encoding="utf-8"?>
<formControlPr xmlns="http://schemas.microsoft.com/office/spreadsheetml/2009/9/main" objectType="CheckBox" fmlaLink="$AG$19" lockText="1" noThreeD="1"/>
</file>

<file path=xl/ctrlProps/ctrlProp78.xml><?xml version="1.0" encoding="utf-8"?>
<formControlPr xmlns="http://schemas.microsoft.com/office/spreadsheetml/2009/9/main" objectType="CheckBox" fmlaLink="$AG$10" lockText="1" noThreeD="1"/>
</file>

<file path=xl/ctrlProps/ctrlProp79.xml><?xml version="1.0" encoding="utf-8"?>
<formControlPr xmlns="http://schemas.microsoft.com/office/spreadsheetml/2009/9/main" objectType="CheckBox" fmlaLink="$AG$11" lockText="1" noThreeD="1"/>
</file>

<file path=xl/ctrlProps/ctrlProp8.xml><?xml version="1.0" encoding="utf-8"?>
<formControlPr xmlns="http://schemas.microsoft.com/office/spreadsheetml/2009/9/main" objectType="Radio" checked="Checked" firstButton="1" fmlaLink="$AE$2" lockText="1" noThreeD="1"/>
</file>

<file path=xl/ctrlProps/ctrlProp80.xml><?xml version="1.0" encoding="utf-8"?>
<formControlPr xmlns="http://schemas.microsoft.com/office/spreadsheetml/2009/9/main" objectType="CheckBox" fmlaLink="$AG$14" lockText="1" noThreeD="1"/>
</file>

<file path=xl/ctrlProps/ctrlProp81.xml><?xml version="1.0" encoding="utf-8"?>
<formControlPr xmlns="http://schemas.microsoft.com/office/spreadsheetml/2009/9/main" objectType="CheckBox" fmlaLink="$AG$12" lockText="1" noThreeD="1"/>
</file>

<file path=xl/ctrlProps/ctrlProp82.xml><?xml version="1.0" encoding="utf-8"?>
<formControlPr xmlns="http://schemas.microsoft.com/office/spreadsheetml/2009/9/main" objectType="CheckBox" fmlaLink="$AG$13" lockText="1" noThreeD="1"/>
</file>

<file path=xl/ctrlProps/ctrlProp83.xml><?xml version="1.0" encoding="utf-8"?>
<formControlPr xmlns="http://schemas.microsoft.com/office/spreadsheetml/2009/9/main" objectType="CheckBox" fmlaLink="$AG$8" lockText="1" noThreeD="1"/>
</file>

<file path=xl/ctrlProps/ctrlProp84.xml><?xml version="1.0" encoding="utf-8"?>
<formControlPr xmlns="http://schemas.microsoft.com/office/spreadsheetml/2009/9/main" objectType="CheckBox" fmlaLink="$AG$9" lockText="1" noThreeD="1"/>
</file>

<file path=xl/ctrlProps/ctrlProp85.xml><?xml version="1.0" encoding="utf-8"?>
<formControlPr xmlns="http://schemas.microsoft.com/office/spreadsheetml/2009/9/main" objectType="CheckBox" fmlaLink="$AG$15" lockText="1" noThreeD="1"/>
</file>

<file path=xl/ctrlProps/ctrlProp86.xml><?xml version="1.0" encoding="utf-8"?>
<formControlPr xmlns="http://schemas.microsoft.com/office/spreadsheetml/2009/9/main" objectType="CheckBox" fmlaLink="$AG$16" lockText="1" noThreeD="1"/>
</file>

<file path=xl/ctrlProps/ctrlProp87.xml><?xml version="1.0" encoding="utf-8"?>
<formControlPr xmlns="http://schemas.microsoft.com/office/spreadsheetml/2009/9/main" objectType="CheckBox" fmlaLink="$AG$17" lockText="1" noThreeD="1"/>
</file>

<file path=xl/ctrlProps/ctrlProp88.xml><?xml version="1.0" encoding="utf-8"?>
<formControlPr xmlns="http://schemas.microsoft.com/office/spreadsheetml/2009/9/main" objectType="CheckBox" fmlaLink="$AG$18" lockText="1" noThreeD="1"/>
</file>

<file path=xl/ctrlProps/ctrlProp89.xml><?xml version="1.0" encoding="utf-8"?>
<formControlPr xmlns="http://schemas.microsoft.com/office/spreadsheetml/2009/9/main" objectType="CheckBox" fmlaLink="$AG$19"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CheckBox" fmlaLink="$AG$10" lockText="1" noThreeD="1"/>
</file>

<file path=xl/ctrlProps/ctrlProp91.xml><?xml version="1.0" encoding="utf-8"?>
<formControlPr xmlns="http://schemas.microsoft.com/office/spreadsheetml/2009/9/main" objectType="CheckBox" fmlaLink="$AG$11" lockText="1" noThreeD="1"/>
</file>

<file path=xl/ctrlProps/ctrlProp92.xml><?xml version="1.0" encoding="utf-8"?>
<formControlPr xmlns="http://schemas.microsoft.com/office/spreadsheetml/2009/9/main" objectType="CheckBox" fmlaLink="$AG$14" lockText="1" noThreeD="1"/>
</file>

<file path=xl/ctrlProps/ctrlProp93.xml><?xml version="1.0" encoding="utf-8"?>
<formControlPr xmlns="http://schemas.microsoft.com/office/spreadsheetml/2009/9/main" objectType="CheckBox" fmlaLink="$AG$12" lockText="1" noThreeD="1"/>
</file>

<file path=xl/ctrlProps/ctrlProp94.xml><?xml version="1.0" encoding="utf-8"?>
<formControlPr xmlns="http://schemas.microsoft.com/office/spreadsheetml/2009/9/main" objectType="CheckBox" fmlaLink="$AG$13" lockText="1" noThreeD="1"/>
</file>

<file path=xl/ctrlProps/ctrlProp95.xml><?xml version="1.0" encoding="utf-8"?>
<formControlPr xmlns="http://schemas.microsoft.com/office/spreadsheetml/2009/9/main" objectType="CheckBox" fmlaLink="$AG$8" lockText="1" noThreeD="1"/>
</file>

<file path=xl/ctrlProps/ctrlProp96.xml><?xml version="1.0" encoding="utf-8"?>
<formControlPr xmlns="http://schemas.microsoft.com/office/spreadsheetml/2009/9/main" objectType="CheckBox" fmlaLink="$AG$9" lockText="1" noThreeD="1"/>
</file>

<file path=xl/ctrlProps/ctrlProp97.xml><?xml version="1.0" encoding="utf-8"?>
<formControlPr xmlns="http://schemas.microsoft.com/office/spreadsheetml/2009/9/main" objectType="CheckBox" fmlaLink="$AG$15" lockText="1" noThreeD="1"/>
</file>

<file path=xl/ctrlProps/ctrlProp98.xml><?xml version="1.0" encoding="utf-8"?>
<formControlPr xmlns="http://schemas.microsoft.com/office/spreadsheetml/2009/9/main" objectType="CheckBox" fmlaLink="$AG$16" lockText="1" noThreeD="1"/>
</file>

<file path=xl/ctrlProps/ctrlProp99.xml><?xml version="1.0" encoding="utf-8"?>
<formControlPr xmlns="http://schemas.microsoft.com/office/spreadsheetml/2009/9/main" objectType="CheckBox" fmlaLink="$AG$17" lockText="1" noThreeD="1"/>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emf"/></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28575</xdr:colOff>
          <xdr:row>19</xdr:row>
          <xdr:rowOff>104775</xdr:rowOff>
        </xdr:from>
        <xdr:to>
          <xdr:col>25</xdr:col>
          <xdr:colOff>257175</xdr:colOff>
          <xdr:row>19</xdr:row>
          <xdr:rowOff>314325</xdr:rowOff>
        </xdr:to>
        <xdr:sp macro="" textlink="">
          <xdr:nvSpPr>
            <xdr:cNvPr id="132097" name="Option Button 1" hidden="1">
              <a:extLst>
                <a:ext uri="{63B3BB69-23CF-44E3-9099-C40C66FF867C}">
                  <a14:compatExt spid="_x0000_s132097"/>
                </a:ext>
                <a:ext uri="{FF2B5EF4-FFF2-40B4-BE49-F238E27FC236}">
                  <a16:creationId xmlns:a16="http://schemas.microsoft.com/office/drawing/2014/main" id="{00000000-0008-0000-0000-000001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15</xdr:row>
          <xdr:rowOff>104775</xdr:rowOff>
        </xdr:from>
        <xdr:to>
          <xdr:col>25</xdr:col>
          <xdr:colOff>257175</xdr:colOff>
          <xdr:row>15</xdr:row>
          <xdr:rowOff>314325</xdr:rowOff>
        </xdr:to>
        <xdr:sp macro="" textlink="">
          <xdr:nvSpPr>
            <xdr:cNvPr id="132098" name="Option Button 2" hidden="1">
              <a:extLst>
                <a:ext uri="{63B3BB69-23CF-44E3-9099-C40C66FF867C}">
                  <a14:compatExt spid="_x0000_s132098"/>
                </a:ext>
                <a:ext uri="{FF2B5EF4-FFF2-40B4-BE49-F238E27FC236}">
                  <a16:creationId xmlns:a16="http://schemas.microsoft.com/office/drawing/2014/main" id="{00000000-0008-0000-0000-000002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16</xdr:row>
          <xdr:rowOff>104775</xdr:rowOff>
        </xdr:from>
        <xdr:to>
          <xdr:col>25</xdr:col>
          <xdr:colOff>257175</xdr:colOff>
          <xdr:row>16</xdr:row>
          <xdr:rowOff>314325</xdr:rowOff>
        </xdr:to>
        <xdr:sp macro="" textlink="">
          <xdr:nvSpPr>
            <xdr:cNvPr id="132099" name="Option Button 3" hidden="1">
              <a:extLst>
                <a:ext uri="{63B3BB69-23CF-44E3-9099-C40C66FF867C}">
                  <a14:compatExt spid="_x0000_s132099"/>
                </a:ext>
                <a:ext uri="{FF2B5EF4-FFF2-40B4-BE49-F238E27FC236}">
                  <a16:creationId xmlns:a16="http://schemas.microsoft.com/office/drawing/2014/main" id="{00000000-0008-0000-0000-000003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17</xdr:row>
          <xdr:rowOff>104775</xdr:rowOff>
        </xdr:from>
        <xdr:to>
          <xdr:col>25</xdr:col>
          <xdr:colOff>257175</xdr:colOff>
          <xdr:row>17</xdr:row>
          <xdr:rowOff>314325</xdr:rowOff>
        </xdr:to>
        <xdr:sp macro="" textlink="">
          <xdr:nvSpPr>
            <xdr:cNvPr id="132100" name="Option Button 4" hidden="1">
              <a:extLst>
                <a:ext uri="{63B3BB69-23CF-44E3-9099-C40C66FF867C}">
                  <a14:compatExt spid="_x0000_s132100"/>
                </a:ext>
                <a:ext uri="{FF2B5EF4-FFF2-40B4-BE49-F238E27FC236}">
                  <a16:creationId xmlns:a16="http://schemas.microsoft.com/office/drawing/2014/main" id="{00000000-0008-0000-0000-000004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20</xdr:row>
          <xdr:rowOff>104775</xdr:rowOff>
        </xdr:from>
        <xdr:to>
          <xdr:col>25</xdr:col>
          <xdr:colOff>257175</xdr:colOff>
          <xdr:row>20</xdr:row>
          <xdr:rowOff>314325</xdr:rowOff>
        </xdr:to>
        <xdr:sp macro="" textlink="">
          <xdr:nvSpPr>
            <xdr:cNvPr id="132102" name="Option Button 1" hidden="1">
              <a:extLst>
                <a:ext uri="{63B3BB69-23CF-44E3-9099-C40C66FF867C}">
                  <a14:compatExt spid="_x0000_s132102"/>
                </a:ext>
                <a:ext uri="{FF2B5EF4-FFF2-40B4-BE49-F238E27FC236}">
                  <a16:creationId xmlns:a16="http://schemas.microsoft.com/office/drawing/2014/main" id="{00000000-0008-0000-0000-000006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18</xdr:row>
          <xdr:rowOff>104775</xdr:rowOff>
        </xdr:from>
        <xdr:to>
          <xdr:col>25</xdr:col>
          <xdr:colOff>257175</xdr:colOff>
          <xdr:row>18</xdr:row>
          <xdr:rowOff>314325</xdr:rowOff>
        </xdr:to>
        <xdr:sp macro="" textlink="">
          <xdr:nvSpPr>
            <xdr:cNvPr id="132103" name="Option Button 1" hidden="1">
              <a:extLst>
                <a:ext uri="{63B3BB69-23CF-44E3-9099-C40C66FF867C}">
                  <a14:compatExt spid="_x0000_s132103"/>
                </a:ext>
                <a:ext uri="{FF2B5EF4-FFF2-40B4-BE49-F238E27FC236}">
                  <a16:creationId xmlns:a16="http://schemas.microsoft.com/office/drawing/2014/main" id="{00000000-0008-0000-0000-000007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89647</xdr:colOff>
      <xdr:row>1</xdr:row>
      <xdr:rowOff>47625</xdr:rowOff>
    </xdr:from>
    <xdr:to>
      <xdr:col>69</xdr:col>
      <xdr:colOff>188525</xdr:colOff>
      <xdr:row>17</xdr:row>
      <xdr:rowOff>323397</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8303559" y="103654"/>
          <a:ext cx="7136172" cy="63045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利用規約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この利用規約</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以下「本規約」といいます。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は、一般社団法人住宅性能評価・表示協会</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以下「当協会」といいます。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が著作権を有する「エクセル外皮計算シート」を提供するサービス</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以下「本サービス」といいます。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の利用条件を定めるものです。ご利用のみなさま</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以下「利用者等」といいます。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には、本規約に従って、本サービスをご利用いただきます。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なお、本規約に違反した場合、以後、本サービスを利用することはできません。本規約に違反したにもかかわらず利用を続けた場合、著作権侵害になりますのでご注意ください。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1</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適用</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①</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本規約は、利用者等と当協会との間の本サービスの利用に関わる一切の関係に適用されるものとします。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②本サービスは、事業者向けのサービスであり、消費者が利用することはできません。</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③本サービスには、不具合やバグが生じる場合があることをあらかじめご了承ください。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④本サービスは、作成環境と</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Excel</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バージョンが異なる場合等、動作環境によって、一部の機能が失われるなど、正常に実行されなくなる可能性があることをあらかじめご了承下さい。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⑤本サービスの内容は、国立研究開発法人建築研究所が公表するエネルギー消費性能の評価に関する技術情報の最新版の内容と齟齬がある可能性があることをあらかじめご了承下さい。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2</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禁止事項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利用者等は、本サービスの利用にあたり，以下の行為をしてはなりません。</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①法令または公序良俗に違反する行為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②本サービスの全部もしくは一部を頒布すること、又は媒体の如何を問わず複製し第三者に譲渡、販売、貸与、もしくは使用許諾する行為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③本サービスの内容等，本サービスに含まれる著作権を侵害する行為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④本サービスによって得られた情報を商業的に利用する行為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⑤不正な目的を持って本サービスを利用する行為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⑥その他，当協会が不適切と判断する行為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3</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条（損害賠償）</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利用者等は、本規約に違反した場合、以後、本サービスを利用することはできません。利用者等が本規約に違反したにもかかわらず本サービスの利用を続けた場合、当協会に発生した一切の損害について、責任を負う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4</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免責事項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当協会は、事由の如何を問わず、本サービスの使用によって利用者等に発生した一切の損害について、名目の如何を問わず、一切の責任を負わないものとします。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5</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一般条項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本規約の解釈にあたっては、日本法を準拠法とします。                                                                                           以 上</a:t>
          </a:r>
        </a:p>
        <a:p>
          <a:pPr algn="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一般社団法人　住宅性能評価・表示協会</a:t>
          </a:r>
        </a:p>
      </xdr:txBody>
    </xdr:sp>
    <xdr:clientData/>
  </xdr:twoCellAnchor>
  <xdr:twoCellAnchor>
    <xdr:from>
      <xdr:col>53</xdr:col>
      <xdr:colOff>205014</xdr:colOff>
      <xdr:row>18</xdr:row>
      <xdr:rowOff>236018</xdr:rowOff>
    </xdr:from>
    <xdr:to>
      <xdr:col>59</xdr:col>
      <xdr:colOff>77107</xdr:colOff>
      <xdr:row>19</xdr:row>
      <xdr:rowOff>123533</xdr:rowOff>
    </xdr:to>
    <xdr:sp macro="" textlink="">
      <xdr:nvSpPr>
        <xdr:cNvPr id="9" name="二等辺三角形 8">
          <a:extLst>
            <a:ext uri="{FF2B5EF4-FFF2-40B4-BE49-F238E27FC236}">
              <a16:creationId xmlns:a16="http://schemas.microsoft.com/office/drawing/2014/main" id="{00000000-0008-0000-0000-000009000000}"/>
            </a:ext>
          </a:extLst>
        </xdr:cNvPr>
        <xdr:cNvSpPr/>
      </xdr:nvSpPr>
      <xdr:spPr>
        <a:xfrm rot="10800000">
          <a:off x="10873014" y="6699411"/>
          <a:ext cx="1504950" cy="268515"/>
        </a:xfrm>
        <a:prstGeom prst="triangle">
          <a:avLst/>
        </a:prstGeom>
        <a:solidFill>
          <a:srgbClr val="0000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43</xdr:col>
          <xdr:colOff>295275</xdr:colOff>
          <xdr:row>20</xdr:row>
          <xdr:rowOff>0</xdr:rowOff>
        </xdr:from>
        <xdr:to>
          <xdr:col>69</xdr:col>
          <xdr:colOff>152400</xdr:colOff>
          <xdr:row>24</xdr:row>
          <xdr:rowOff>9525</xdr:rowOff>
        </xdr:to>
        <xdr:sp macro="" textlink="">
          <xdr:nvSpPr>
            <xdr:cNvPr id="132104" name="Group Box 8" hidden="1">
              <a:extLst>
                <a:ext uri="{63B3BB69-23CF-44E3-9099-C40C66FF867C}">
                  <a14:compatExt spid="_x0000_s132104"/>
                </a:ext>
                <a:ext uri="{FF2B5EF4-FFF2-40B4-BE49-F238E27FC236}">
                  <a16:creationId xmlns:a16="http://schemas.microsoft.com/office/drawing/2014/main" id="{00000000-0008-0000-0000-0000080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44</xdr:col>
      <xdr:colOff>93435</xdr:colOff>
      <xdr:row>20</xdr:row>
      <xdr:rowOff>48556</xdr:rowOff>
    </xdr:from>
    <xdr:to>
      <xdr:col>69</xdr:col>
      <xdr:colOff>90714</xdr:colOff>
      <xdr:row>22</xdr:row>
      <xdr:rowOff>176731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312149" y="7273949"/>
          <a:ext cx="6800851" cy="89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1">
              <a:solidFill>
                <a:srgbClr val="FF0000"/>
              </a:solidFill>
            </a:rPr>
            <a:t>利用規約に関して</a:t>
          </a:r>
          <a:endParaRPr kumimoji="1" lang="en-US" altLang="ja-JP" sz="3600">
            <a:solidFill>
              <a:srgbClr val="FF0000"/>
            </a:solidFill>
          </a:endParaRPr>
        </a:p>
        <a:p>
          <a:pPr algn="ctr"/>
          <a:r>
            <a:rPr kumimoji="1" lang="en-US" altLang="ja-JP" sz="1200">
              <a:solidFill>
                <a:srgbClr val="FF0000"/>
              </a:solidFill>
            </a:rPr>
            <a:t>※</a:t>
          </a:r>
          <a:r>
            <a:rPr kumimoji="1" lang="ja-JP" altLang="en-US" sz="1200">
              <a:solidFill>
                <a:srgbClr val="FF0000"/>
              </a:solidFill>
            </a:rPr>
            <a:t>上記に同意頂けない場合は入力欄、判定欄等が黒塗りのままとなり利用することができません。</a:t>
          </a:r>
          <a:endParaRPr kumimoji="1" lang="en-US" altLang="ja-JP" sz="1200">
            <a:solidFill>
              <a:srgbClr val="FF0000"/>
            </a:solidFill>
          </a:endParaRPr>
        </a:p>
        <a:p>
          <a:pPr algn="ctr"/>
          <a:endParaRPr kumimoji="1" lang="en-US" altLang="ja-JP" sz="3600"/>
        </a:p>
      </xdr:txBody>
    </xdr:sp>
    <xdr:clientData/>
  </xdr:twoCellAnchor>
  <xdr:twoCellAnchor>
    <xdr:from>
      <xdr:col>47</xdr:col>
      <xdr:colOff>98879</xdr:colOff>
      <xdr:row>22</xdr:row>
      <xdr:rowOff>90126</xdr:rowOff>
    </xdr:from>
    <xdr:to>
      <xdr:col>55</xdr:col>
      <xdr:colOff>252186</xdr:colOff>
      <xdr:row>23</xdr:row>
      <xdr:rowOff>131855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9134022" y="8077519"/>
          <a:ext cx="2330450" cy="4227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0" i="0" u="none" strike="noStrike">
              <a:solidFill>
                <a:srgbClr val="FF0000"/>
              </a:solidFill>
              <a:effectLst/>
              <a:latin typeface="+mn-lt"/>
              <a:ea typeface="+mn-ea"/>
              <a:cs typeface="+mn-cs"/>
            </a:rPr>
            <a:t>利用規約に同意しない</a:t>
          </a:r>
          <a:r>
            <a:rPr lang="ja-JP" altLang="en-US" sz="1600">
              <a:solidFill>
                <a:srgbClr val="FF0000"/>
              </a:solidFill>
            </a:rPr>
            <a:t> </a:t>
          </a:r>
          <a:endParaRPr kumimoji="1" lang="ja-JP" altLang="en-US" sz="1600">
            <a:solidFill>
              <a:srgbClr val="FF0000"/>
            </a:solidFill>
          </a:endParaRPr>
        </a:p>
      </xdr:txBody>
    </xdr:sp>
    <xdr:clientData/>
  </xdr:twoCellAnchor>
  <xdr:twoCellAnchor>
    <xdr:from>
      <xdr:col>57</xdr:col>
      <xdr:colOff>222251</xdr:colOff>
      <xdr:row>22</xdr:row>
      <xdr:rowOff>90126</xdr:rowOff>
    </xdr:from>
    <xdr:to>
      <xdr:col>67</xdr:col>
      <xdr:colOff>244022</xdr:colOff>
      <xdr:row>23</xdr:row>
      <xdr:rowOff>131855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1978822" y="8077519"/>
          <a:ext cx="2743200" cy="4227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0" i="0" u="none" strike="noStrike">
              <a:solidFill>
                <a:srgbClr val="FF0000"/>
              </a:solidFill>
              <a:effectLst/>
              <a:latin typeface="+mn-lt"/>
              <a:ea typeface="+mn-ea"/>
              <a:cs typeface="+mn-cs"/>
            </a:rPr>
            <a:t>利用規約に同意し利用する</a:t>
          </a:r>
          <a:endParaRPr kumimoji="1" lang="ja-JP" altLang="en-US" sz="1600">
            <a:solidFill>
              <a:srgbClr val="FF0000"/>
            </a:solidFill>
          </a:endParaRPr>
        </a:p>
      </xdr:txBody>
    </xdr:sp>
    <xdr:clientData/>
  </xdr:twoCellAnchor>
  <xdr:twoCellAnchor editAs="oneCell">
    <xdr:from>
      <xdr:col>44</xdr:col>
      <xdr:colOff>234042</xdr:colOff>
      <xdr:row>24</xdr:row>
      <xdr:rowOff>86728</xdr:rowOff>
    </xdr:from>
    <xdr:to>
      <xdr:col>67</xdr:col>
      <xdr:colOff>258535</xdr:colOff>
      <xdr:row>26</xdr:row>
      <xdr:rowOff>40821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534399" y="8836121"/>
          <a:ext cx="6324600" cy="7160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altLang="ja-JP">
              <a:solidFill>
                <a:sysClr val="windowText" lastClr="000000"/>
              </a:solidFill>
              <a:latin typeface="ＭＳ Ｐゴシック" panose="020B0600070205080204" pitchFamily="50" charset="-128"/>
              <a:ea typeface="ＭＳ Ｐゴシック" panose="020B0600070205080204" pitchFamily="50" charset="-128"/>
            </a:rPr>
            <a:t>※</a:t>
          </a:r>
          <a:r>
            <a:rPr lang="ja-JP" altLang="en-US">
              <a:solidFill>
                <a:sysClr val="windowText" lastClr="000000"/>
              </a:solidFill>
              <a:latin typeface="ＭＳ Ｐゴシック" panose="020B0600070205080204" pitchFamily="50" charset="-128"/>
              <a:ea typeface="ＭＳ Ｐゴシック" panose="020B0600070205080204" pitchFamily="50" charset="-128"/>
            </a:rPr>
            <a:t>当協会では、本サービスに関するお問い合わせは回答できかねます。申請される登録住宅性能評価機関等にお問い合わせください。</a:t>
          </a:r>
          <a:endParaRPr lang="en-US" altLang="ja-JP">
            <a:solidFill>
              <a:sysClr val="windowText" lastClr="000000"/>
            </a:solidFill>
            <a:latin typeface="ＭＳ Ｐゴシック" panose="020B0600070205080204" pitchFamily="50" charset="-128"/>
            <a:ea typeface="ＭＳ Ｐゴシック" panose="020B0600070205080204" pitchFamily="50" charset="-128"/>
          </a:endParaRPr>
        </a:p>
        <a:p>
          <a:r>
            <a:rPr lang="en-US" altLang="ja-JP"/>
            <a:t>※</a:t>
          </a:r>
          <a:r>
            <a:rPr lang="ja-JP" altLang="en-US"/>
            <a:t>よくある質問については「外皮計算書簡単ガイド」をご一読ください。</a:t>
          </a:r>
          <a:endParaRPr lang="ja-JP" altLang="en-US">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46</xdr:col>
          <xdr:colOff>238125</xdr:colOff>
          <xdr:row>21</xdr:row>
          <xdr:rowOff>352425</xdr:rowOff>
        </xdr:from>
        <xdr:to>
          <xdr:col>47</xdr:col>
          <xdr:colOff>247650</xdr:colOff>
          <xdr:row>23</xdr:row>
          <xdr:rowOff>180975</xdr:rowOff>
        </xdr:to>
        <xdr:sp macro="" textlink="">
          <xdr:nvSpPr>
            <xdr:cNvPr id="132105" name="Option Button 9" hidden="1">
              <a:extLst>
                <a:ext uri="{63B3BB69-23CF-44E3-9099-C40C66FF867C}">
                  <a14:compatExt spid="_x0000_s132105"/>
                </a:ext>
                <a:ext uri="{FF2B5EF4-FFF2-40B4-BE49-F238E27FC236}">
                  <a16:creationId xmlns:a16="http://schemas.microsoft.com/office/drawing/2014/main" id="{00000000-0008-0000-0000-000009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22</xdr:row>
          <xdr:rowOff>47625</xdr:rowOff>
        </xdr:from>
        <xdr:to>
          <xdr:col>58</xdr:col>
          <xdr:colOff>104775</xdr:colOff>
          <xdr:row>23</xdr:row>
          <xdr:rowOff>123825</xdr:rowOff>
        </xdr:to>
        <xdr:sp macro="" textlink="">
          <xdr:nvSpPr>
            <xdr:cNvPr id="132106" name="Option Button 10" hidden="1">
              <a:extLst>
                <a:ext uri="{63B3BB69-23CF-44E3-9099-C40C66FF867C}">
                  <a14:compatExt spid="_x0000_s132106"/>
                </a:ext>
                <a:ext uri="{FF2B5EF4-FFF2-40B4-BE49-F238E27FC236}">
                  <a16:creationId xmlns:a16="http://schemas.microsoft.com/office/drawing/2014/main" id="{00000000-0008-0000-0000-00000A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228600</xdr:colOff>
          <xdr:row>21</xdr:row>
          <xdr:rowOff>247650</xdr:rowOff>
        </xdr:from>
        <xdr:to>
          <xdr:col>59</xdr:col>
          <xdr:colOff>133350</xdr:colOff>
          <xdr:row>24</xdr:row>
          <xdr:rowOff>333375</xdr:rowOff>
        </xdr:to>
        <xdr:sp macro="" textlink="">
          <xdr:nvSpPr>
            <xdr:cNvPr id="132107" name="Group Box 11" hidden="1">
              <a:extLst>
                <a:ext uri="{63B3BB69-23CF-44E3-9099-C40C66FF867C}">
                  <a14:compatExt spid="_x0000_s132107"/>
                </a:ext>
                <a:ext uri="{FF2B5EF4-FFF2-40B4-BE49-F238E27FC236}">
                  <a16:creationId xmlns:a16="http://schemas.microsoft.com/office/drawing/2014/main" id="{00000000-0008-0000-0000-00000B0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oneCellAnchor>
    <xdr:from>
      <xdr:col>13</xdr:col>
      <xdr:colOff>184150</xdr:colOff>
      <xdr:row>17</xdr:row>
      <xdr:rowOff>12700</xdr:rowOff>
    </xdr:from>
    <xdr:ext cx="360000" cy="228601"/>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3505200" y="4248150"/>
          <a:ext cx="360000" cy="2286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ja-JP" altLang="en-US" sz="900" b="1">
              <a:solidFill>
                <a:srgbClr val="13353D"/>
              </a:solidFill>
              <a:latin typeface="HGPｺﾞｼｯｸM" panose="020B0600000000000000" pitchFamily="50" charset="-128"/>
              <a:ea typeface="HGPｺﾞｼｯｸM" panose="020B0600000000000000" pitchFamily="50" charset="-128"/>
            </a:rPr>
            <a:t>＊</a:t>
          </a:r>
          <a:endParaRPr kumimoji="1" lang="en-US" altLang="ja-JP" sz="900" b="1">
            <a:solidFill>
              <a:srgbClr val="13353D"/>
            </a:solidFill>
            <a:latin typeface="HGPｺﾞｼｯｸM" panose="020B0600000000000000" pitchFamily="50" charset="-128"/>
            <a:ea typeface="HGPｺﾞｼｯｸM" panose="020B0600000000000000" pitchFamily="50" charset="-128"/>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42</xdr:col>
      <xdr:colOff>216514</xdr:colOff>
      <xdr:row>8</xdr:row>
      <xdr:rowOff>129138</xdr:rowOff>
    </xdr:from>
    <xdr:to>
      <xdr:col>54</xdr:col>
      <xdr:colOff>353786</xdr:colOff>
      <xdr:row>19</xdr:row>
      <xdr:rowOff>94579</xdr:rowOff>
    </xdr:to>
    <xdr:grpSp>
      <xdr:nvGrpSpPr>
        <xdr:cNvPr id="2" name="グループ化 32">
          <a:extLst>
            <a:ext uri="{FF2B5EF4-FFF2-40B4-BE49-F238E27FC236}">
              <a16:creationId xmlns:a16="http://schemas.microsoft.com/office/drawing/2014/main" id="{00000000-0008-0000-0A00-000002000000}"/>
            </a:ext>
          </a:extLst>
        </xdr:cNvPr>
        <xdr:cNvGrpSpPr>
          <a:grpSpLocks/>
        </xdr:cNvGrpSpPr>
      </xdr:nvGrpSpPr>
      <xdr:grpSpPr bwMode="auto">
        <a:xfrm>
          <a:off x="8285550" y="2129388"/>
          <a:ext cx="3525450" cy="2659655"/>
          <a:chOff x="159196" y="7833807"/>
          <a:chExt cx="3651576" cy="2925781"/>
        </a:xfrm>
      </xdr:grpSpPr>
      <xdr:sp macro="" textlink="">
        <xdr:nvSpPr>
          <xdr:cNvPr id="3" name="正方形/長方形 2">
            <a:extLst>
              <a:ext uri="{FF2B5EF4-FFF2-40B4-BE49-F238E27FC236}">
                <a16:creationId xmlns:a16="http://schemas.microsoft.com/office/drawing/2014/main" id="{00000000-0008-0000-0A00-000003000000}"/>
              </a:ext>
            </a:extLst>
          </xdr:cNvPr>
          <xdr:cNvSpPr/>
        </xdr:nvSpPr>
        <xdr:spPr bwMode="auto">
          <a:xfrm>
            <a:off x="674008" y="8276362"/>
            <a:ext cx="3017040" cy="204067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grpSp>
        <xdr:nvGrpSpPr>
          <xdr:cNvPr id="4" name="グループ化 31">
            <a:extLst>
              <a:ext uri="{FF2B5EF4-FFF2-40B4-BE49-F238E27FC236}">
                <a16:creationId xmlns:a16="http://schemas.microsoft.com/office/drawing/2014/main" id="{00000000-0008-0000-0A00-000004000000}"/>
              </a:ext>
            </a:extLst>
          </xdr:cNvPr>
          <xdr:cNvGrpSpPr>
            <a:grpSpLocks/>
          </xdr:cNvGrpSpPr>
        </xdr:nvGrpSpPr>
        <xdr:grpSpPr bwMode="auto">
          <a:xfrm>
            <a:off x="159196" y="7833807"/>
            <a:ext cx="3651576" cy="2925781"/>
            <a:chOff x="158330" y="7875352"/>
            <a:chExt cx="3704371" cy="2942000"/>
          </a:xfrm>
        </xdr:grpSpPr>
        <xdr:sp macro="" textlink="">
          <xdr:nvSpPr>
            <xdr:cNvPr id="5" name="正方形/長方形 4">
              <a:extLst>
                <a:ext uri="{FF2B5EF4-FFF2-40B4-BE49-F238E27FC236}">
                  <a16:creationId xmlns:a16="http://schemas.microsoft.com/office/drawing/2014/main" id="{00000000-0008-0000-0A00-000005000000}"/>
                </a:ext>
              </a:extLst>
            </xdr:cNvPr>
            <xdr:cNvSpPr/>
          </xdr:nvSpPr>
          <xdr:spPr bwMode="auto">
            <a:xfrm>
              <a:off x="802040" y="8443974"/>
              <a:ext cx="935202" cy="70459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6" name="正方形/長方形 5">
              <a:extLst>
                <a:ext uri="{FF2B5EF4-FFF2-40B4-BE49-F238E27FC236}">
                  <a16:creationId xmlns:a16="http://schemas.microsoft.com/office/drawing/2014/main" id="{00000000-0008-0000-0A00-000006000000}"/>
                </a:ext>
              </a:extLst>
            </xdr:cNvPr>
            <xdr:cNvSpPr/>
          </xdr:nvSpPr>
          <xdr:spPr bwMode="auto">
            <a:xfrm>
              <a:off x="802040" y="9247461"/>
              <a:ext cx="935202" cy="102599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7" name="正方形/長方形 6">
              <a:extLst>
                <a:ext uri="{FF2B5EF4-FFF2-40B4-BE49-F238E27FC236}">
                  <a16:creationId xmlns:a16="http://schemas.microsoft.com/office/drawing/2014/main" id="{00000000-0008-0000-0A00-000007000000}"/>
                </a:ext>
              </a:extLst>
            </xdr:cNvPr>
            <xdr:cNvSpPr/>
          </xdr:nvSpPr>
          <xdr:spPr bwMode="auto">
            <a:xfrm>
              <a:off x="1846552" y="8443974"/>
              <a:ext cx="898765" cy="143391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8" name="正方形/長方形 7">
              <a:extLst>
                <a:ext uri="{FF2B5EF4-FFF2-40B4-BE49-F238E27FC236}">
                  <a16:creationId xmlns:a16="http://schemas.microsoft.com/office/drawing/2014/main" id="{00000000-0008-0000-0A00-000008000000}"/>
                </a:ext>
              </a:extLst>
            </xdr:cNvPr>
            <xdr:cNvSpPr/>
          </xdr:nvSpPr>
          <xdr:spPr bwMode="auto">
            <a:xfrm>
              <a:off x="1846552" y="9976781"/>
              <a:ext cx="898765" cy="29667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9" name="正方形/長方形 8">
              <a:extLst>
                <a:ext uri="{FF2B5EF4-FFF2-40B4-BE49-F238E27FC236}">
                  <a16:creationId xmlns:a16="http://schemas.microsoft.com/office/drawing/2014/main" id="{00000000-0008-0000-0A00-000009000000}"/>
                </a:ext>
              </a:extLst>
            </xdr:cNvPr>
            <xdr:cNvSpPr/>
          </xdr:nvSpPr>
          <xdr:spPr bwMode="auto">
            <a:xfrm>
              <a:off x="2866772" y="8443974"/>
              <a:ext cx="753020" cy="75404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10" name="正方形/長方形 9">
              <a:extLst>
                <a:ext uri="{FF2B5EF4-FFF2-40B4-BE49-F238E27FC236}">
                  <a16:creationId xmlns:a16="http://schemas.microsoft.com/office/drawing/2014/main" id="{00000000-0008-0000-0A00-00000A000000}"/>
                </a:ext>
              </a:extLst>
            </xdr:cNvPr>
            <xdr:cNvSpPr/>
          </xdr:nvSpPr>
          <xdr:spPr bwMode="auto">
            <a:xfrm>
              <a:off x="2866772" y="9309268"/>
              <a:ext cx="753020" cy="9641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xnSp macro="">
          <xdr:nvCxnSpPr>
            <xdr:cNvPr id="11" name="直線コネクタ 10">
              <a:extLst>
                <a:ext uri="{FF2B5EF4-FFF2-40B4-BE49-F238E27FC236}">
                  <a16:creationId xmlns:a16="http://schemas.microsoft.com/office/drawing/2014/main" id="{00000000-0008-0000-0A00-00000B000000}"/>
                </a:ext>
              </a:extLst>
            </xdr:cNvPr>
            <xdr:cNvCxnSpPr/>
          </xdr:nvCxnSpPr>
          <xdr:spPr bwMode="auto">
            <a:xfrm>
              <a:off x="741313" y="8110218"/>
              <a:ext cx="0" cy="243518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0A00-00000C000000}"/>
                </a:ext>
              </a:extLst>
            </xdr:cNvPr>
            <xdr:cNvCxnSpPr/>
          </xdr:nvCxnSpPr>
          <xdr:spPr bwMode="auto">
            <a:xfrm>
              <a:off x="3680519" y="8110218"/>
              <a:ext cx="0" cy="243518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0A00-00000D000000}"/>
                </a:ext>
              </a:extLst>
            </xdr:cNvPr>
            <xdr:cNvCxnSpPr/>
          </xdr:nvCxnSpPr>
          <xdr:spPr bwMode="auto">
            <a:xfrm>
              <a:off x="1785824" y="9692470"/>
              <a:ext cx="0" cy="87765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00000000-0008-0000-0A00-00000E000000}"/>
                </a:ext>
              </a:extLst>
            </xdr:cNvPr>
            <xdr:cNvCxnSpPr/>
          </xdr:nvCxnSpPr>
          <xdr:spPr bwMode="auto">
            <a:xfrm>
              <a:off x="2806044" y="9692470"/>
              <a:ext cx="0" cy="87765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00000000-0008-0000-0A00-00000F000000}"/>
                </a:ext>
              </a:extLst>
            </xdr:cNvPr>
            <xdr:cNvCxnSpPr/>
          </xdr:nvCxnSpPr>
          <xdr:spPr bwMode="auto">
            <a:xfrm>
              <a:off x="437676" y="8382167"/>
              <a:ext cx="3425025"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A00-000010000000}"/>
                </a:ext>
              </a:extLst>
            </xdr:cNvPr>
            <xdr:cNvCxnSpPr/>
          </xdr:nvCxnSpPr>
          <xdr:spPr bwMode="auto">
            <a:xfrm>
              <a:off x="1397169" y="9927335"/>
              <a:ext cx="1712512"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A00-000011000000}"/>
                </a:ext>
              </a:extLst>
            </xdr:cNvPr>
            <xdr:cNvCxnSpPr/>
          </xdr:nvCxnSpPr>
          <xdr:spPr bwMode="auto">
            <a:xfrm flipH="1">
              <a:off x="2186625" y="9976781"/>
              <a:ext cx="291491" cy="296672"/>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A00-000012000000}"/>
                </a:ext>
              </a:extLst>
            </xdr:cNvPr>
            <xdr:cNvCxnSpPr/>
          </xdr:nvCxnSpPr>
          <xdr:spPr bwMode="auto">
            <a:xfrm flipH="1">
              <a:off x="2247352" y="9976781"/>
              <a:ext cx="291491" cy="296672"/>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00000000-0008-0000-0A00-000013000000}"/>
                </a:ext>
              </a:extLst>
            </xdr:cNvPr>
            <xdr:cNvCxnSpPr/>
          </xdr:nvCxnSpPr>
          <xdr:spPr bwMode="auto">
            <a:xfrm>
              <a:off x="1494333" y="9927335"/>
              <a:ext cx="0" cy="395563"/>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a:extLst>
                <a:ext uri="{FF2B5EF4-FFF2-40B4-BE49-F238E27FC236}">
                  <a16:creationId xmlns:a16="http://schemas.microsoft.com/office/drawing/2014/main" id="{00000000-0008-0000-0A00-000014000000}"/>
                </a:ext>
              </a:extLst>
            </xdr:cNvPr>
            <xdr:cNvCxnSpPr/>
          </xdr:nvCxnSpPr>
          <xdr:spPr bwMode="auto">
            <a:xfrm>
              <a:off x="474112" y="8382167"/>
              <a:ext cx="0" cy="1940731"/>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a:extLst>
                <a:ext uri="{FF2B5EF4-FFF2-40B4-BE49-F238E27FC236}">
                  <a16:creationId xmlns:a16="http://schemas.microsoft.com/office/drawing/2014/main" id="{00000000-0008-0000-0A00-000015000000}"/>
                </a:ext>
              </a:extLst>
            </xdr:cNvPr>
            <xdr:cNvCxnSpPr/>
          </xdr:nvCxnSpPr>
          <xdr:spPr bwMode="auto">
            <a:xfrm flipH="1">
              <a:off x="741313" y="8172024"/>
              <a:ext cx="2951351" cy="0"/>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47">
              <a:extLst>
                <a:ext uri="{FF2B5EF4-FFF2-40B4-BE49-F238E27FC236}">
                  <a16:creationId xmlns:a16="http://schemas.microsoft.com/office/drawing/2014/main" id="{00000000-0008-0000-0A00-000016000000}"/>
                </a:ext>
              </a:extLst>
            </xdr:cNvPr>
            <xdr:cNvSpPr txBox="1"/>
          </xdr:nvSpPr>
          <xdr:spPr bwMode="auto">
            <a:xfrm>
              <a:off x="2125898" y="10495957"/>
              <a:ext cx="619419" cy="32139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Ｌ３</a:t>
              </a:r>
            </a:p>
          </xdr:txBody>
        </xdr:sp>
        <xdr:sp macro="" textlink="">
          <xdr:nvSpPr>
            <xdr:cNvPr id="23" name="テキスト ボックス 48">
              <a:extLst>
                <a:ext uri="{FF2B5EF4-FFF2-40B4-BE49-F238E27FC236}">
                  <a16:creationId xmlns:a16="http://schemas.microsoft.com/office/drawing/2014/main" id="{00000000-0008-0000-0A00-000017000000}"/>
                </a:ext>
              </a:extLst>
            </xdr:cNvPr>
            <xdr:cNvSpPr txBox="1"/>
          </xdr:nvSpPr>
          <xdr:spPr bwMode="auto">
            <a:xfrm>
              <a:off x="2101607" y="7875352"/>
              <a:ext cx="582983" cy="32139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Ｌ１</a:t>
              </a:r>
            </a:p>
          </xdr:txBody>
        </xdr:sp>
        <xdr:sp macro="" textlink="">
          <xdr:nvSpPr>
            <xdr:cNvPr id="24" name="テキスト ボックス 49">
              <a:extLst>
                <a:ext uri="{FF2B5EF4-FFF2-40B4-BE49-F238E27FC236}">
                  <a16:creationId xmlns:a16="http://schemas.microsoft.com/office/drawing/2014/main" id="{00000000-0008-0000-0A00-000018000000}"/>
                </a:ext>
              </a:extLst>
            </xdr:cNvPr>
            <xdr:cNvSpPr txBox="1"/>
          </xdr:nvSpPr>
          <xdr:spPr bwMode="auto">
            <a:xfrm rot="16200000">
              <a:off x="966357" y="9795138"/>
              <a:ext cx="655151" cy="42509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Ｌ４</a:t>
              </a:r>
            </a:p>
          </xdr:txBody>
        </xdr:sp>
        <xdr:sp macro="" textlink="">
          <xdr:nvSpPr>
            <xdr:cNvPr id="25" name="テキスト ボックス 50">
              <a:extLst>
                <a:ext uri="{FF2B5EF4-FFF2-40B4-BE49-F238E27FC236}">
                  <a16:creationId xmlns:a16="http://schemas.microsoft.com/office/drawing/2014/main" id="{00000000-0008-0000-0A00-000019000000}"/>
                </a:ext>
              </a:extLst>
            </xdr:cNvPr>
            <xdr:cNvSpPr txBox="1"/>
          </xdr:nvSpPr>
          <xdr:spPr bwMode="auto">
            <a:xfrm rot="16200000">
              <a:off x="-5713" y="8991219"/>
              <a:ext cx="704597" cy="37651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Ｌ２</a:t>
              </a:r>
            </a:p>
          </xdr:txBody>
        </xdr:sp>
        <xdr:cxnSp macro="">
          <xdr:nvCxnSpPr>
            <xdr:cNvPr id="26" name="直線矢印コネクタ 25">
              <a:extLst>
                <a:ext uri="{FF2B5EF4-FFF2-40B4-BE49-F238E27FC236}">
                  <a16:creationId xmlns:a16="http://schemas.microsoft.com/office/drawing/2014/main" id="{00000000-0008-0000-0A00-00001A000000}"/>
                </a:ext>
              </a:extLst>
            </xdr:cNvPr>
            <xdr:cNvCxnSpPr/>
          </xdr:nvCxnSpPr>
          <xdr:spPr bwMode="auto">
            <a:xfrm flipH="1">
              <a:off x="1785824" y="10495957"/>
              <a:ext cx="1020220" cy="0"/>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0A00-00001B000000}"/>
                </a:ext>
              </a:extLst>
            </xdr:cNvPr>
            <xdr:cNvCxnSpPr/>
          </xdr:nvCxnSpPr>
          <xdr:spPr bwMode="auto">
            <a:xfrm>
              <a:off x="437676" y="10322898"/>
              <a:ext cx="3425025"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14</xdr:col>
          <xdr:colOff>9525</xdr:colOff>
          <xdr:row>34</xdr:row>
          <xdr:rowOff>19050</xdr:rowOff>
        </xdr:from>
        <xdr:to>
          <xdr:col>15</xdr:col>
          <xdr:colOff>57150</xdr:colOff>
          <xdr:row>34</xdr:row>
          <xdr:rowOff>228600</xdr:rowOff>
        </xdr:to>
        <xdr:sp macro="" textlink="">
          <xdr:nvSpPr>
            <xdr:cNvPr id="128001" name="Check Box 1" hidden="1">
              <a:extLst>
                <a:ext uri="{63B3BB69-23CF-44E3-9099-C40C66FF867C}">
                  <a14:compatExt spid="_x0000_s128001"/>
                </a:ext>
                <a:ext uri="{FF2B5EF4-FFF2-40B4-BE49-F238E27FC236}">
                  <a16:creationId xmlns:a16="http://schemas.microsoft.com/office/drawing/2014/main" id="{00000000-0008-0000-0A00-000001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35</xdr:row>
          <xdr:rowOff>19050</xdr:rowOff>
        </xdr:from>
        <xdr:to>
          <xdr:col>15</xdr:col>
          <xdr:colOff>57150</xdr:colOff>
          <xdr:row>35</xdr:row>
          <xdr:rowOff>228600</xdr:rowOff>
        </xdr:to>
        <xdr:sp macro="" textlink="">
          <xdr:nvSpPr>
            <xdr:cNvPr id="128002" name="Check Box 2" hidden="1">
              <a:extLst>
                <a:ext uri="{63B3BB69-23CF-44E3-9099-C40C66FF867C}">
                  <a14:compatExt spid="_x0000_s128002"/>
                </a:ext>
                <a:ext uri="{FF2B5EF4-FFF2-40B4-BE49-F238E27FC236}">
                  <a16:creationId xmlns:a16="http://schemas.microsoft.com/office/drawing/2014/main" id="{00000000-0008-0000-0A00-000002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36</xdr:row>
          <xdr:rowOff>19050</xdr:rowOff>
        </xdr:from>
        <xdr:to>
          <xdr:col>15</xdr:col>
          <xdr:colOff>57150</xdr:colOff>
          <xdr:row>36</xdr:row>
          <xdr:rowOff>228600</xdr:rowOff>
        </xdr:to>
        <xdr:sp macro="" textlink="">
          <xdr:nvSpPr>
            <xdr:cNvPr id="128003" name="Check Box 3" hidden="1">
              <a:extLst>
                <a:ext uri="{63B3BB69-23CF-44E3-9099-C40C66FF867C}">
                  <a14:compatExt spid="_x0000_s128003"/>
                </a:ext>
                <a:ext uri="{FF2B5EF4-FFF2-40B4-BE49-F238E27FC236}">
                  <a16:creationId xmlns:a16="http://schemas.microsoft.com/office/drawing/2014/main" id="{00000000-0008-0000-0A00-000003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37</xdr:row>
          <xdr:rowOff>19050</xdr:rowOff>
        </xdr:from>
        <xdr:to>
          <xdr:col>15</xdr:col>
          <xdr:colOff>57150</xdr:colOff>
          <xdr:row>37</xdr:row>
          <xdr:rowOff>228600</xdr:rowOff>
        </xdr:to>
        <xdr:sp macro="" textlink="">
          <xdr:nvSpPr>
            <xdr:cNvPr id="128004" name="Check Box 4" hidden="1">
              <a:extLst>
                <a:ext uri="{63B3BB69-23CF-44E3-9099-C40C66FF867C}">
                  <a14:compatExt spid="_x0000_s128004"/>
                </a:ext>
                <a:ext uri="{FF2B5EF4-FFF2-40B4-BE49-F238E27FC236}">
                  <a16:creationId xmlns:a16="http://schemas.microsoft.com/office/drawing/2014/main" id="{00000000-0008-0000-0A00-000004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38</xdr:row>
          <xdr:rowOff>19050</xdr:rowOff>
        </xdr:from>
        <xdr:to>
          <xdr:col>15</xdr:col>
          <xdr:colOff>57150</xdr:colOff>
          <xdr:row>38</xdr:row>
          <xdr:rowOff>228600</xdr:rowOff>
        </xdr:to>
        <xdr:sp macro="" textlink="">
          <xdr:nvSpPr>
            <xdr:cNvPr id="128005" name="Check Box 5" hidden="1">
              <a:extLst>
                <a:ext uri="{63B3BB69-23CF-44E3-9099-C40C66FF867C}">
                  <a14:compatExt spid="_x0000_s128005"/>
                </a:ext>
                <a:ext uri="{FF2B5EF4-FFF2-40B4-BE49-F238E27FC236}">
                  <a16:creationId xmlns:a16="http://schemas.microsoft.com/office/drawing/2014/main" id="{00000000-0008-0000-0A00-000005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21</xdr:row>
          <xdr:rowOff>9525</xdr:rowOff>
        </xdr:from>
        <xdr:to>
          <xdr:col>15</xdr:col>
          <xdr:colOff>38100</xdr:colOff>
          <xdr:row>21</xdr:row>
          <xdr:rowOff>219075</xdr:rowOff>
        </xdr:to>
        <xdr:sp macro="" textlink="">
          <xdr:nvSpPr>
            <xdr:cNvPr id="128006" name="Check Box 6" hidden="1">
              <a:extLst>
                <a:ext uri="{63B3BB69-23CF-44E3-9099-C40C66FF867C}">
                  <a14:compatExt spid="_x0000_s128006"/>
                </a:ext>
                <a:ext uri="{FF2B5EF4-FFF2-40B4-BE49-F238E27FC236}">
                  <a16:creationId xmlns:a16="http://schemas.microsoft.com/office/drawing/2014/main" id="{00000000-0008-0000-0A00-000006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22</xdr:row>
          <xdr:rowOff>9525</xdr:rowOff>
        </xdr:from>
        <xdr:to>
          <xdr:col>15</xdr:col>
          <xdr:colOff>38100</xdr:colOff>
          <xdr:row>22</xdr:row>
          <xdr:rowOff>219075</xdr:rowOff>
        </xdr:to>
        <xdr:sp macro="" textlink="">
          <xdr:nvSpPr>
            <xdr:cNvPr id="128007" name="Check Box 7" hidden="1">
              <a:extLst>
                <a:ext uri="{63B3BB69-23CF-44E3-9099-C40C66FF867C}">
                  <a14:compatExt spid="_x0000_s128007"/>
                </a:ext>
                <a:ext uri="{FF2B5EF4-FFF2-40B4-BE49-F238E27FC236}">
                  <a16:creationId xmlns:a16="http://schemas.microsoft.com/office/drawing/2014/main" id="{00000000-0008-0000-0A00-000007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xdr:row>
          <xdr:rowOff>9525</xdr:rowOff>
        </xdr:from>
        <xdr:to>
          <xdr:col>15</xdr:col>
          <xdr:colOff>38100</xdr:colOff>
          <xdr:row>23</xdr:row>
          <xdr:rowOff>219075</xdr:rowOff>
        </xdr:to>
        <xdr:sp macro="" textlink="">
          <xdr:nvSpPr>
            <xdr:cNvPr id="128008" name="Check Box 8" hidden="1">
              <a:extLst>
                <a:ext uri="{63B3BB69-23CF-44E3-9099-C40C66FF867C}">
                  <a14:compatExt spid="_x0000_s128008"/>
                </a:ext>
                <a:ext uri="{FF2B5EF4-FFF2-40B4-BE49-F238E27FC236}">
                  <a16:creationId xmlns:a16="http://schemas.microsoft.com/office/drawing/2014/main" id="{00000000-0008-0000-0A00-000008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xdr:row>
          <xdr:rowOff>9525</xdr:rowOff>
        </xdr:from>
        <xdr:to>
          <xdr:col>15</xdr:col>
          <xdr:colOff>38100</xdr:colOff>
          <xdr:row>24</xdr:row>
          <xdr:rowOff>219075</xdr:rowOff>
        </xdr:to>
        <xdr:sp macro="" textlink="">
          <xdr:nvSpPr>
            <xdr:cNvPr id="128009" name="Check Box 9" hidden="1">
              <a:extLst>
                <a:ext uri="{63B3BB69-23CF-44E3-9099-C40C66FF867C}">
                  <a14:compatExt spid="_x0000_s128009"/>
                </a:ext>
                <a:ext uri="{FF2B5EF4-FFF2-40B4-BE49-F238E27FC236}">
                  <a16:creationId xmlns:a16="http://schemas.microsoft.com/office/drawing/2014/main" id="{00000000-0008-0000-0A00-000009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xdr:row>
          <xdr:rowOff>9525</xdr:rowOff>
        </xdr:from>
        <xdr:to>
          <xdr:col>15</xdr:col>
          <xdr:colOff>38100</xdr:colOff>
          <xdr:row>25</xdr:row>
          <xdr:rowOff>219075</xdr:rowOff>
        </xdr:to>
        <xdr:sp macro="" textlink="">
          <xdr:nvSpPr>
            <xdr:cNvPr id="128010" name="Check Box 10" hidden="1">
              <a:extLst>
                <a:ext uri="{63B3BB69-23CF-44E3-9099-C40C66FF867C}">
                  <a14:compatExt spid="_x0000_s128010"/>
                </a:ext>
                <a:ext uri="{FF2B5EF4-FFF2-40B4-BE49-F238E27FC236}">
                  <a16:creationId xmlns:a16="http://schemas.microsoft.com/office/drawing/2014/main" id="{00000000-0008-0000-0A00-00000A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44</xdr:col>
      <xdr:colOff>182531</xdr:colOff>
      <xdr:row>34</xdr:row>
      <xdr:rowOff>146135</xdr:rowOff>
    </xdr:from>
    <xdr:to>
      <xdr:col>57</xdr:col>
      <xdr:colOff>306160</xdr:colOff>
      <xdr:row>44</xdr:row>
      <xdr:rowOff>24071</xdr:rowOff>
    </xdr:to>
    <xdr:pic>
      <xdr:nvPicPr>
        <xdr:cNvPr id="38" name="図 37">
          <a:extLst>
            <a:ext uri="{FF2B5EF4-FFF2-40B4-BE49-F238E27FC236}">
              <a16:creationId xmlns:a16="http://schemas.microsoft.com/office/drawing/2014/main" id="{00000000-0008-0000-0A00-000026000000}"/>
            </a:ext>
          </a:extLst>
        </xdr:cNvPr>
        <xdr:cNvPicPr>
          <a:picLocks noChangeAspect="1"/>
        </xdr:cNvPicPr>
      </xdr:nvPicPr>
      <xdr:blipFill>
        <a:blip xmlns:r="http://schemas.openxmlformats.org/officeDocument/2006/relationships" r:embed="rId1"/>
        <a:stretch>
          <a:fillRect/>
        </a:stretch>
      </xdr:blipFill>
      <xdr:spPr>
        <a:xfrm>
          <a:off x="8326407" y="8718635"/>
          <a:ext cx="4688825" cy="23952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9525</xdr:colOff>
          <xdr:row>26</xdr:row>
          <xdr:rowOff>9525</xdr:rowOff>
        </xdr:from>
        <xdr:to>
          <xdr:col>15</xdr:col>
          <xdr:colOff>38100</xdr:colOff>
          <xdr:row>26</xdr:row>
          <xdr:rowOff>219075</xdr:rowOff>
        </xdr:to>
        <xdr:sp macro="" textlink="">
          <xdr:nvSpPr>
            <xdr:cNvPr id="128011" name="Check Box 11" hidden="1">
              <a:extLst>
                <a:ext uri="{63B3BB69-23CF-44E3-9099-C40C66FF867C}">
                  <a14:compatExt spid="_x0000_s128011"/>
                </a:ext>
                <a:ext uri="{FF2B5EF4-FFF2-40B4-BE49-F238E27FC236}">
                  <a16:creationId xmlns:a16="http://schemas.microsoft.com/office/drawing/2014/main" id="{00000000-0008-0000-0A00-00000B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xdr:row>
          <xdr:rowOff>9525</xdr:rowOff>
        </xdr:from>
        <xdr:to>
          <xdr:col>15</xdr:col>
          <xdr:colOff>38100</xdr:colOff>
          <xdr:row>27</xdr:row>
          <xdr:rowOff>219075</xdr:rowOff>
        </xdr:to>
        <xdr:sp macro="" textlink="">
          <xdr:nvSpPr>
            <xdr:cNvPr id="128012" name="Check Box 12" hidden="1">
              <a:extLst>
                <a:ext uri="{63B3BB69-23CF-44E3-9099-C40C66FF867C}">
                  <a14:compatExt spid="_x0000_s128012"/>
                </a:ext>
                <a:ext uri="{FF2B5EF4-FFF2-40B4-BE49-F238E27FC236}">
                  <a16:creationId xmlns:a16="http://schemas.microsoft.com/office/drawing/2014/main" id="{00000000-0008-0000-0A00-00000C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28</xdr:row>
          <xdr:rowOff>9525</xdr:rowOff>
        </xdr:from>
        <xdr:to>
          <xdr:col>15</xdr:col>
          <xdr:colOff>38100</xdr:colOff>
          <xdr:row>28</xdr:row>
          <xdr:rowOff>219075</xdr:rowOff>
        </xdr:to>
        <xdr:sp macro="" textlink="">
          <xdr:nvSpPr>
            <xdr:cNvPr id="128013" name="Check Box 13" hidden="1">
              <a:extLst>
                <a:ext uri="{63B3BB69-23CF-44E3-9099-C40C66FF867C}">
                  <a14:compatExt spid="_x0000_s128013"/>
                </a:ext>
                <a:ext uri="{FF2B5EF4-FFF2-40B4-BE49-F238E27FC236}">
                  <a16:creationId xmlns:a16="http://schemas.microsoft.com/office/drawing/2014/main" id="{00000000-0008-0000-0A00-00000D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44</xdr:col>
      <xdr:colOff>127908</xdr:colOff>
      <xdr:row>19</xdr:row>
      <xdr:rowOff>148318</xdr:rowOff>
    </xdr:from>
    <xdr:to>
      <xdr:col>54</xdr:col>
      <xdr:colOff>136074</xdr:colOff>
      <xdr:row>27</xdr:row>
      <xdr:rowOff>13408</xdr:rowOff>
    </xdr:to>
    <xdr:pic>
      <xdr:nvPicPr>
        <xdr:cNvPr id="42" name="図 41">
          <a:extLst>
            <a:ext uri="{FF2B5EF4-FFF2-40B4-BE49-F238E27FC236}">
              <a16:creationId xmlns:a16="http://schemas.microsoft.com/office/drawing/2014/main" id="{00000000-0008-0000-0A00-00002A000000}"/>
            </a:ext>
          </a:extLst>
        </xdr:cNvPr>
        <xdr:cNvPicPr>
          <a:picLocks noChangeAspect="1"/>
        </xdr:cNvPicPr>
      </xdr:nvPicPr>
      <xdr:blipFill rotWithShape="1">
        <a:blip xmlns:r="http://schemas.openxmlformats.org/officeDocument/2006/relationships" r:embed="rId2"/>
        <a:srcRect t="48000"/>
        <a:stretch/>
      </xdr:blipFill>
      <xdr:spPr>
        <a:xfrm>
          <a:off x="8833758" y="4882243"/>
          <a:ext cx="2811236" cy="184629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9525</xdr:colOff>
          <xdr:row>39</xdr:row>
          <xdr:rowOff>19050</xdr:rowOff>
        </xdr:from>
        <xdr:to>
          <xdr:col>15</xdr:col>
          <xdr:colOff>57150</xdr:colOff>
          <xdr:row>39</xdr:row>
          <xdr:rowOff>228600</xdr:rowOff>
        </xdr:to>
        <xdr:sp macro="" textlink="">
          <xdr:nvSpPr>
            <xdr:cNvPr id="128014" name="Check Box 14" hidden="1">
              <a:extLst>
                <a:ext uri="{63B3BB69-23CF-44E3-9099-C40C66FF867C}">
                  <a14:compatExt spid="_x0000_s128014"/>
                </a:ext>
                <a:ext uri="{FF2B5EF4-FFF2-40B4-BE49-F238E27FC236}">
                  <a16:creationId xmlns:a16="http://schemas.microsoft.com/office/drawing/2014/main" id="{00000000-0008-0000-0A00-00000E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40</xdr:row>
          <xdr:rowOff>19050</xdr:rowOff>
        </xdr:from>
        <xdr:to>
          <xdr:col>15</xdr:col>
          <xdr:colOff>57150</xdr:colOff>
          <xdr:row>40</xdr:row>
          <xdr:rowOff>228600</xdr:rowOff>
        </xdr:to>
        <xdr:sp macro="" textlink="">
          <xdr:nvSpPr>
            <xdr:cNvPr id="128015" name="Check Box 15" hidden="1">
              <a:extLst>
                <a:ext uri="{63B3BB69-23CF-44E3-9099-C40C66FF867C}">
                  <a14:compatExt spid="_x0000_s128015"/>
                </a:ext>
                <a:ext uri="{FF2B5EF4-FFF2-40B4-BE49-F238E27FC236}">
                  <a16:creationId xmlns:a16="http://schemas.microsoft.com/office/drawing/2014/main" id="{00000000-0008-0000-0A00-00000F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41</xdr:row>
          <xdr:rowOff>19050</xdr:rowOff>
        </xdr:from>
        <xdr:to>
          <xdr:col>15</xdr:col>
          <xdr:colOff>57150</xdr:colOff>
          <xdr:row>41</xdr:row>
          <xdr:rowOff>228600</xdr:rowOff>
        </xdr:to>
        <xdr:sp macro="" textlink="">
          <xdr:nvSpPr>
            <xdr:cNvPr id="128016" name="Check Box 16" hidden="1">
              <a:extLst>
                <a:ext uri="{63B3BB69-23CF-44E3-9099-C40C66FF867C}">
                  <a14:compatExt spid="_x0000_s128016"/>
                </a:ext>
                <a:ext uri="{FF2B5EF4-FFF2-40B4-BE49-F238E27FC236}">
                  <a16:creationId xmlns:a16="http://schemas.microsoft.com/office/drawing/2014/main" id="{00000000-0008-0000-0A00-000010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42</xdr:row>
          <xdr:rowOff>19050</xdr:rowOff>
        </xdr:from>
        <xdr:to>
          <xdr:col>15</xdr:col>
          <xdr:colOff>57150</xdr:colOff>
          <xdr:row>42</xdr:row>
          <xdr:rowOff>228600</xdr:rowOff>
        </xdr:to>
        <xdr:sp macro="" textlink="">
          <xdr:nvSpPr>
            <xdr:cNvPr id="128017" name="Check Box 17" hidden="1">
              <a:extLst>
                <a:ext uri="{63B3BB69-23CF-44E3-9099-C40C66FF867C}">
                  <a14:compatExt spid="_x0000_s128017"/>
                </a:ext>
                <a:ext uri="{FF2B5EF4-FFF2-40B4-BE49-F238E27FC236}">
                  <a16:creationId xmlns:a16="http://schemas.microsoft.com/office/drawing/2014/main" id="{00000000-0008-0000-0A00-000011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43</xdr:row>
          <xdr:rowOff>19050</xdr:rowOff>
        </xdr:from>
        <xdr:to>
          <xdr:col>15</xdr:col>
          <xdr:colOff>57150</xdr:colOff>
          <xdr:row>43</xdr:row>
          <xdr:rowOff>228600</xdr:rowOff>
        </xdr:to>
        <xdr:sp macro="" textlink="">
          <xdr:nvSpPr>
            <xdr:cNvPr id="128018" name="Check Box 18" hidden="1">
              <a:extLst>
                <a:ext uri="{63B3BB69-23CF-44E3-9099-C40C66FF867C}">
                  <a14:compatExt spid="_x0000_s128018"/>
                </a:ext>
                <a:ext uri="{FF2B5EF4-FFF2-40B4-BE49-F238E27FC236}">
                  <a16:creationId xmlns:a16="http://schemas.microsoft.com/office/drawing/2014/main" id="{00000000-0008-0000-0A00-000012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38</xdr:row>
          <xdr:rowOff>19050</xdr:rowOff>
        </xdr:from>
        <xdr:to>
          <xdr:col>15</xdr:col>
          <xdr:colOff>57150</xdr:colOff>
          <xdr:row>38</xdr:row>
          <xdr:rowOff>228600</xdr:rowOff>
        </xdr:to>
        <xdr:sp macro="" textlink="">
          <xdr:nvSpPr>
            <xdr:cNvPr id="128019" name="Check Box 19" hidden="1">
              <a:extLst>
                <a:ext uri="{63B3BB69-23CF-44E3-9099-C40C66FF867C}">
                  <a14:compatExt spid="_x0000_s128019"/>
                </a:ext>
                <a:ext uri="{FF2B5EF4-FFF2-40B4-BE49-F238E27FC236}">
                  <a16:creationId xmlns:a16="http://schemas.microsoft.com/office/drawing/2014/main" id="{00000000-0008-0000-0A00-000013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39</xdr:row>
          <xdr:rowOff>19050</xdr:rowOff>
        </xdr:from>
        <xdr:to>
          <xdr:col>15</xdr:col>
          <xdr:colOff>57150</xdr:colOff>
          <xdr:row>39</xdr:row>
          <xdr:rowOff>228600</xdr:rowOff>
        </xdr:to>
        <xdr:sp macro="" textlink="">
          <xdr:nvSpPr>
            <xdr:cNvPr id="128020" name="Check Box 20" hidden="1">
              <a:extLst>
                <a:ext uri="{63B3BB69-23CF-44E3-9099-C40C66FF867C}">
                  <a14:compatExt spid="_x0000_s128020"/>
                </a:ext>
                <a:ext uri="{FF2B5EF4-FFF2-40B4-BE49-F238E27FC236}">
                  <a16:creationId xmlns:a16="http://schemas.microsoft.com/office/drawing/2014/main" id="{00000000-0008-0000-0A00-000014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40</xdr:row>
          <xdr:rowOff>19050</xdr:rowOff>
        </xdr:from>
        <xdr:to>
          <xdr:col>15</xdr:col>
          <xdr:colOff>57150</xdr:colOff>
          <xdr:row>40</xdr:row>
          <xdr:rowOff>228600</xdr:rowOff>
        </xdr:to>
        <xdr:sp macro="" textlink="">
          <xdr:nvSpPr>
            <xdr:cNvPr id="128021" name="Check Box 21" hidden="1">
              <a:extLst>
                <a:ext uri="{63B3BB69-23CF-44E3-9099-C40C66FF867C}">
                  <a14:compatExt spid="_x0000_s128021"/>
                </a:ext>
                <a:ext uri="{FF2B5EF4-FFF2-40B4-BE49-F238E27FC236}">
                  <a16:creationId xmlns:a16="http://schemas.microsoft.com/office/drawing/2014/main" id="{00000000-0008-0000-0A00-000015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41</xdr:row>
          <xdr:rowOff>19050</xdr:rowOff>
        </xdr:from>
        <xdr:to>
          <xdr:col>15</xdr:col>
          <xdr:colOff>57150</xdr:colOff>
          <xdr:row>41</xdr:row>
          <xdr:rowOff>228600</xdr:rowOff>
        </xdr:to>
        <xdr:sp macro="" textlink="">
          <xdr:nvSpPr>
            <xdr:cNvPr id="128022" name="Check Box 22" hidden="1">
              <a:extLst>
                <a:ext uri="{63B3BB69-23CF-44E3-9099-C40C66FF867C}">
                  <a14:compatExt spid="_x0000_s128022"/>
                </a:ext>
                <a:ext uri="{FF2B5EF4-FFF2-40B4-BE49-F238E27FC236}">
                  <a16:creationId xmlns:a16="http://schemas.microsoft.com/office/drawing/2014/main" id="{00000000-0008-0000-0A00-000016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42</xdr:row>
          <xdr:rowOff>19050</xdr:rowOff>
        </xdr:from>
        <xdr:to>
          <xdr:col>15</xdr:col>
          <xdr:colOff>57150</xdr:colOff>
          <xdr:row>42</xdr:row>
          <xdr:rowOff>228600</xdr:rowOff>
        </xdr:to>
        <xdr:sp macro="" textlink="">
          <xdr:nvSpPr>
            <xdr:cNvPr id="128023" name="Check Box 23" hidden="1">
              <a:extLst>
                <a:ext uri="{63B3BB69-23CF-44E3-9099-C40C66FF867C}">
                  <a14:compatExt spid="_x0000_s128023"/>
                </a:ext>
                <a:ext uri="{FF2B5EF4-FFF2-40B4-BE49-F238E27FC236}">
                  <a16:creationId xmlns:a16="http://schemas.microsoft.com/office/drawing/2014/main" id="{00000000-0008-0000-0A00-000017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xdr:row>
          <xdr:rowOff>47625</xdr:rowOff>
        </xdr:from>
        <xdr:to>
          <xdr:col>13</xdr:col>
          <xdr:colOff>219075</xdr:colOff>
          <xdr:row>2</xdr:row>
          <xdr:rowOff>285750</xdr:rowOff>
        </xdr:to>
        <xdr:sp macro="" textlink="">
          <xdr:nvSpPr>
            <xdr:cNvPr id="128024" name="Option Button 24" hidden="1">
              <a:extLst>
                <a:ext uri="{63B3BB69-23CF-44E3-9099-C40C66FF867C}">
                  <a14:compatExt spid="_x0000_s128024"/>
                </a:ext>
                <a:ext uri="{FF2B5EF4-FFF2-40B4-BE49-F238E27FC236}">
                  <a16:creationId xmlns:a16="http://schemas.microsoft.com/office/drawing/2014/main" id="{00000000-0008-0000-0A00-000018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xdr:row>
          <xdr:rowOff>57150</xdr:rowOff>
        </xdr:from>
        <xdr:to>
          <xdr:col>18</xdr:col>
          <xdr:colOff>219075</xdr:colOff>
          <xdr:row>2</xdr:row>
          <xdr:rowOff>295275</xdr:rowOff>
        </xdr:to>
        <xdr:sp macro="" textlink="">
          <xdr:nvSpPr>
            <xdr:cNvPr id="128025" name="Option Button 25" hidden="1">
              <a:extLst>
                <a:ext uri="{63B3BB69-23CF-44E3-9099-C40C66FF867C}">
                  <a14:compatExt spid="_x0000_s128025"/>
                </a:ext>
                <a:ext uri="{FF2B5EF4-FFF2-40B4-BE49-F238E27FC236}">
                  <a16:creationId xmlns:a16="http://schemas.microsoft.com/office/drawing/2014/main" id="{00000000-0008-0000-0A00-000019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108857</xdr:colOff>
      <xdr:row>1</xdr:row>
      <xdr:rowOff>220914</xdr:rowOff>
    </xdr:from>
    <xdr:to>
      <xdr:col>64</xdr:col>
      <xdr:colOff>95249</xdr:colOff>
      <xdr:row>7</xdr:row>
      <xdr:rowOff>163285</xdr:rowOff>
    </xdr:to>
    <xdr:sp macro="" textlink="">
      <xdr:nvSpPr>
        <xdr:cNvPr id="55" name="テキスト ボックス 54">
          <a:extLst>
            <a:ext uri="{FF2B5EF4-FFF2-40B4-BE49-F238E27FC236}">
              <a16:creationId xmlns:a16="http://schemas.microsoft.com/office/drawing/2014/main" id="{00000000-0008-0000-0A00-000037000000}"/>
            </a:ext>
          </a:extLst>
        </xdr:cNvPr>
        <xdr:cNvSpPr txBox="1"/>
      </xdr:nvSpPr>
      <xdr:spPr bwMode="auto">
        <a:xfrm>
          <a:off x="8538482" y="268539"/>
          <a:ext cx="9882867" cy="1656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ysClr val="windowText" lastClr="000000"/>
              </a:solidFill>
              <a:effectLst/>
              <a:latin typeface="+mn-lt"/>
              <a:ea typeface="+mn-ea"/>
              <a:cs typeface="+mn-cs"/>
            </a:rPr>
            <a:t>【</a:t>
          </a:r>
          <a:r>
            <a:rPr kumimoji="1" lang="ja-JP" altLang="ja-JP" sz="1200" b="1">
              <a:solidFill>
                <a:schemeClr val="dk1"/>
              </a:solidFill>
              <a:effectLst/>
              <a:latin typeface="+mn-lt"/>
              <a:ea typeface="+mn-ea"/>
              <a:cs typeface="+mn-cs"/>
            </a:rPr>
            <a:t>計算方法について</a:t>
          </a:r>
          <a:r>
            <a:rPr kumimoji="1" lang="en-US" altLang="ja-JP" sz="1100" b="1">
              <a:solidFill>
                <a:sysClr val="windowText" lastClr="000000"/>
              </a:solidFill>
              <a:effectLst/>
              <a:latin typeface="+mn-lt"/>
              <a:ea typeface="+mn-ea"/>
              <a:cs typeface="+mn-cs"/>
            </a:rPr>
            <a:t>】</a:t>
          </a:r>
        </a:p>
        <a:p>
          <a:r>
            <a:rPr kumimoji="1" lang="ja-JP" altLang="ja-JP" sz="1100" b="1">
              <a:solidFill>
                <a:srgbClr val="FF0000"/>
              </a:solidFill>
              <a:effectLst/>
              <a:latin typeface="+mn-lt"/>
              <a:ea typeface="+mn-ea"/>
              <a:cs typeface="+mn-cs"/>
            </a:rPr>
            <a:t>新計算法</a:t>
          </a:r>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2021</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4</a:t>
          </a:r>
          <a:r>
            <a:rPr kumimoji="1" lang="ja-JP" altLang="ja-JP" sz="1100">
              <a:solidFill>
                <a:sysClr val="windowText" lastClr="000000"/>
              </a:solidFill>
              <a:effectLst/>
              <a:latin typeface="+mn-lt"/>
              <a:ea typeface="+mn-ea"/>
              <a:cs typeface="+mn-cs"/>
            </a:rPr>
            <a:t>月以降新たに整備された計算方法となり、土間床等の外周部の熱損失と基礎の熱損失を別々に評価する方法。</a:t>
          </a:r>
          <a:endParaRPr lang="ja-JP" altLang="ja-JP" sz="1100">
            <a:solidFill>
              <a:sysClr val="windowText" lastClr="000000"/>
            </a:solidFill>
            <a:effectLst/>
          </a:endParaRPr>
        </a:p>
        <a:p>
          <a:r>
            <a:rPr kumimoji="1" lang="ja-JP" altLang="ja-JP" sz="1100">
              <a:solidFill>
                <a:sysClr val="windowText" lastClr="000000"/>
              </a:solidFill>
              <a:effectLst/>
              <a:latin typeface="+mn-lt"/>
              <a:ea typeface="+mn-ea"/>
              <a:cs typeface="+mn-cs"/>
            </a:rPr>
            <a:t>（詳細：技術情報：第３章第</a:t>
          </a:r>
          <a:r>
            <a:rPr kumimoji="1" lang="ja-JP" altLang="en-US" sz="1100">
              <a:solidFill>
                <a:sysClr val="windowText" lastClr="000000"/>
              </a:solidFill>
              <a:effectLst/>
              <a:latin typeface="+mn-lt"/>
              <a:ea typeface="+mn-ea"/>
              <a:cs typeface="+mn-cs"/>
            </a:rPr>
            <a:t>３</a:t>
          </a:r>
          <a:r>
            <a:rPr kumimoji="1" lang="ja-JP" altLang="ja-JP" sz="1100">
              <a:solidFill>
                <a:sysClr val="windowText" lastClr="000000"/>
              </a:solidFill>
              <a:effectLst/>
              <a:latin typeface="+mn-lt"/>
              <a:ea typeface="+mn-ea"/>
              <a:cs typeface="+mn-cs"/>
            </a:rPr>
            <a:t>節　</a:t>
          </a:r>
          <a:r>
            <a:rPr kumimoji="1" lang="en-US" altLang="ja-JP" sz="1100">
              <a:solidFill>
                <a:sysClr val="windowText" lastClr="000000"/>
              </a:solidFill>
              <a:effectLst/>
              <a:latin typeface="+mn-lt"/>
              <a:ea typeface="+mn-ea"/>
              <a:cs typeface="+mn-cs"/>
            </a:rPr>
            <a:t>6.2.1</a:t>
          </a:r>
          <a:r>
            <a:rPr kumimoji="1" lang="ja-JP" altLang="ja-JP" sz="1100">
              <a:solidFill>
                <a:sysClr val="windowText" lastClr="000000"/>
              </a:solidFill>
              <a:effectLst/>
              <a:latin typeface="+mn-lt"/>
              <a:ea typeface="+mn-ea"/>
              <a:cs typeface="+mn-cs"/>
            </a:rPr>
            <a:t>）</a:t>
          </a:r>
          <a:endParaRPr lang="ja-JP" altLang="ja-JP"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旧計算法</a:t>
          </a:r>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ver2</a:t>
          </a:r>
          <a:r>
            <a:rPr kumimoji="1" lang="ja-JP" altLang="en-US" sz="1100">
              <a:solidFill>
                <a:sysClr val="windowText" lastClr="000000"/>
              </a:solidFill>
              <a:effectLst/>
              <a:latin typeface="+mn-lt"/>
              <a:ea typeface="+mn-ea"/>
              <a:cs typeface="+mn-cs"/>
            </a:rPr>
            <a:t>系</a:t>
          </a:r>
          <a:r>
            <a:rPr kumimoji="1" lang="ja-JP" altLang="ja-JP" sz="1100">
              <a:solidFill>
                <a:sysClr val="windowText" lastClr="000000"/>
              </a:solidFill>
              <a:effectLst/>
              <a:latin typeface="+mn-lt"/>
              <a:ea typeface="+mn-ea"/>
              <a:cs typeface="+mn-cs"/>
            </a:rPr>
            <a:t>において主に使用されていた計算方法</a:t>
          </a:r>
          <a:r>
            <a:rPr kumimoji="1" lang="ja-JP" altLang="en-US" sz="1100">
              <a:solidFill>
                <a:sysClr val="windowText" lastClr="000000"/>
              </a:solidFill>
              <a:effectLst/>
              <a:latin typeface="+mn-lt"/>
              <a:ea typeface="+mn-ea"/>
              <a:cs typeface="+mn-cs"/>
            </a:rPr>
            <a:t>となり、土間床等の熱損失と基礎の熱損失（ただし立ち上がり高さ</a:t>
          </a:r>
          <a:r>
            <a:rPr kumimoji="1" lang="en-US" altLang="ja-JP" sz="1100">
              <a:solidFill>
                <a:sysClr val="windowText" lastClr="000000"/>
              </a:solidFill>
              <a:effectLst/>
              <a:latin typeface="+mn-lt"/>
              <a:ea typeface="+mn-ea"/>
              <a:cs typeface="+mn-cs"/>
            </a:rPr>
            <a:t>400mm</a:t>
          </a:r>
          <a:r>
            <a:rPr kumimoji="1" lang="ja-JP" altLang="en-US" sz="1100">
              <a:solidFill>
                <a:sysClr val="windowText" lastClr="000000"/>
              </a:solidFill>
              <a:effectLst/>
              <a:latin typeface="+mn-lt"/>
              <a:ea typeface="+mn-ea"/>
              <a:cs typeface="+mn-cs"/>
            </a:rPr>
            <a:t>まで）を併せて評価する方法。</a:t>
          </a: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（詳細：技術情報 第３章 第３節 付録</a:t>
          </a:r>
          <a:r>
            <a:rPr kumimoji="1" lang="en-US" altLang="ja-JP" sz="1100">
              <a:solidFill>
                <a:sysClr val="windowText" lastClr="000000"/>
              </a:solidFill>
              <a:effectLst/>
              <a:latin typeface="+mn-lt"/>
              <a:ea typeface="+mn-ea"/>
              <a:cs typeface="+mn-cs"/>
            </a:rPr>
            <a:t>D</a:t>
          </a:r>
          <a:r>
            <a:rPr kumimoji="1" lang="ja-JP" altLang="en-US" sz="1100">
              <a:solidFill>
                <a:sysClr val="windowText" lastClr="000000"/>
              </a:solidFill>
              <a:effectLst/>
              <a:latin typeface="+mn-lt"/>
              <a:ea typeface="+mn-ea"/>
              <a:cs typeface="+mn-cs"/>
            </a:rPr>
            <a:t>）</a:t>
          </a:r>
          <a:endParaRPr kumimoji="1" lang="ja-JP" altLang="ja-JP" sz="1100" strike="sngStrike" baseline="0">
            <a:solidFill>
              <a:sysClr val="windowText" lastClr="000000"/>
            </a:solidFill>
            <a:effectLst/>
            <a:latin typeface="+mn-lt"/>
            <a:ea typeface="+mn-ea"/>
            <a:cs typeface="+mn-cs"/>
          </a:endParaRPr>
        </a:p>
        <a:p>
          <a:r>
            <a:rPr kumimoji="1" lang="en-US" altLang="ja-JP" sz="1100" b="1">
              <a:solidFill>
                <a:sysClr val="windowText" lastClr="000000"/>
              </a:solidFill>
              <a:effectLst/>
              <a:latin typeface="+mn-lt"/>
              <a:ea typeface="+mn-ea"/>
              <a:cs typeface="+mn-cs"/>
            </a:rPr>
            <a:t>2026</a:t>
          </a:r>
          <a:r>
            <a:rPr kumimoji="1" lang="ja-JP" altLang="en-US" sz="1100" b="1">
              <a:solidFill>
                <a:sysClr val="windowText" lastClr="000000"/>
              </a:solidFill>
              <a:effectLst/>
              <a:latin typeface="+mn-lt"/>
              <a:ea typeface="+mn-ea"/>
              <a:cs typeface="+mn-cs"/>
            </a:rPr>
            <a:t>年</a:t>
          </a:r>
          <a:r>
            <a:rPr kumimoji="1" lang="en-US" altLang="ja-JP" sz="1100" b="1">
              <a:solidFill>
                <a:sysClr val="windowText" lastClr="000000"/>
              </a:solidFill>
              <a:effectLst/>
              <a:latin typeface="+mn-lt"/>
              <a:ea typeface="+mn-ea"/>
              <a:cs typeface="+mn-cs"/>
            </a:rPr>
            <a:t>10</a:t>
          </a:r>
          <a:r>
            <a:rPr kumimoji="1" lang="ja-JP" altLang="en-US" sz="1100" b="1">
              <a:solidFill>
                <a:sysClr val="windowText" lastClr="000000"/>
              </a:solidFill>
              <a:effectLst/>
              <a:latin typeface="+mn-lt"/>
              <a:ea typeface="+mn-ea"/>
              <a:cs typeface="+mn-cs"/>
            </a:rPr>
            <a:t>月</a:t>
          </a:r>
          <a:r>
            <a:rPr kumimoji="1" lang="en-US" altLang="ja-JP" sz="1100" b="1">
              <a:solidFill>
                <a:sysClr val="windowText" lastClr="000000"/>
              </a:solidFill>
              <a:effectLst/>
              <a:latin typeface="+mn-lt"/>
              <a:ea typeface="+mn-ea"/>
              <a:cs typeface="+mn-cs"/>
            </a:rPr>
            <a:t>31</a:t>
          </a:r>
          <a:r>
            <a:rPr kumimoji="1" lang="ja-JP" altLang="en-US" sz="1100" b="1">
              <a:solidFill>
                <a:sysClr val="windowText" lastClr="000000"/>
              </a:solidFill>
              <a:effectLst/>
              <a:latin typeface="+mn-lt"/>
              <a:ea typeface="+mn-ea"/>
              <a:cs typeface="+mn-cs"/>
            </a:rPr>
            <a:t>日をもって廃止。</a:t>
          </a:r>
          <a:endParaRPr kumimoji="1" lang="en-US" altLang="ja-JP" sz="1100" b="1">
            <a:solidFill>
              <a:sysClr val="windowText" lastClr="000000"/>
            </a:solidFill>
            <a:effectLst/>
            <a:latin typeface="+mn-lt"/>
            <a:ea typeface="+mn-ea"/>
            <a:cs typeface="+mn-cs"/>
          </a:endParaRPr>
        </a:p>
      </xdr:txBody>
    </xdr:sp>
    <xdr:clientData/>
  </xdr:twoCellAnchor>
  <xdr:twoCellAnchor>
    <xdr:from>
      <xdr:col>55</xdr:col>
      <xdr:colOff>89738</xdr:colOff>
      <xdr:row>10</xdr:row>
      <xdr:rowOff>136073</xdr:rowOff>
    </xdr:from>
    <xdr:to>
      <xdr:col>62</xdr:col>
      <xdr:colOff>227919</xdr:colOff>
      <xdr:row>28</xdr:row>
      <xdr:rowOff>85047</xdr:rowOff>
    </xdr:to>
    <xdr:sp macro="" textlink="">
      <xdr:nvSpPr>
        <xdr:cNvPr id="56" name="テキスト ボックス 55">
          <a:extLst>
            <a:ext uri="{FF2B5EF4-FFF2-40B4-BE49-F238E27FC236}">
              <a16:creationId xmlns:a16="http://schemas.microsoft.com/office/drawing/2014/main" id="{00000000-0008-0000-0A00-000038000000}"/>
            </a:ext>
          </a:extLst>
        </xdr:cNvPr>
        <xdr:cNvSpPr txBox="1"/>
      </xdr:nvSpPr>
      <xdr:spPr bwMode="auto">
        <a:xfrm>
          <a:off x="12243638" y="2641148"/>
          <a:ext cx="4938781" cy="4406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solidFill>
                <a:sysClr val="windowText" lastClr="000000"/>
              </a:solidFill>
            </a:rPr>
            <a:t>【</a:t>
          </a:r>
          <a:r>
            <a:rPr kumimoji="1" lang="ja-JP" altLang="en-US" sz="1200" b="1">
              <a:solidFill>
                <a:sysClr val="windowText" lastClr="000000"/>
              </a:solidFill>
            </a:rPr>
            <a:t>諸数値の算出について</a:t>
          </a:r>
          <a:r>
            <a:rPr kumimoji="1" lang="en-US" altLang="ja-JP" sz="1200" b="1">
              <a:solidFill>
                <a:sysClr val="windowText" lastClr="000000"/>
              </a:solidFill>
            </a:rPr>
            <a:t>】</a:t>
          </a:r>
        </a:p>
        <a:p>
          <a:r>
            <a:rPr kumimoji="1" lang="ja-JP" altLang="en-US" sz="1100">
              <a:solidFill>
                <a:sysClr val="windowText" lastClr="000000"/>
              </a:solidFill>
            </a:rPr>
            <a:t>①土間床等面積の算出</a:t>
          </a:r>
          <a:endParaRPr kumimoji="1" lang="en-US" altLang="ja-JP" sz="1100">
            <a:solidFill>
              <a:sysClr val="windowText" lastClr="000000"/>
            </a:solidFill>
          </a:endParaRPr>
        </a:p>
        <a:p>
          <a:pPr>
            <a:lnSpc>
              <a:spcPts val="500"/>
            </a:lnSpc>
          </a:pP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全面基礎断熱の場合</a:t>
          </a: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Ｌ１</a:t>
          </a:r>
          <a:r>
            <a:rPr kumimoji="1" lang="en-US" altLang="ja-JP" sz="1100">
              <a:solidFill>
                <a:sysClr val="windowText" lastClr="000000"/>
              </a:solidFill>
            </a:rPr>
            <a:t>×</a:t>
          </a:r>
          <a:r>
            <a:rPr kumimoji="1" lang="ja-JP" altLang="en-US" sz="1100">
              <a:solidFill>
                <a:sysClr val="windowText" lastClr="000000"/>
              </a:solidFill>
            </a:rPr>
            <a:t>Ｌ２</a:t>
          </a: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玄関土間等、床の一部が基礎断熱の場合</a:t>
          </a: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Ｌ３</a:t>
          </a:r>
          <a:r>
            <a:rPr kumimoji="1" lang="en-US" altLang="ja-JP" sz="1100">
              <a:solidFill>
                <a:sysClr val="windowText" lastClr="000000"/>
              </a:solidFill>
            </a:rPr>
            <a:t>×</a:t>
          </a:r>
          <a:r>
            <a:rPr kumimoji="1" lang="ja-JP" altLang="en-US" sz="1100">
              <a:solidFill>
                <a:sysClr val="windowText" lastClr="000000"/>
              </a:solidFill>
            </a:rPr>
            <a:t>Ｌ４</a:t>
          </a: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を求め入力する。</a:t>
          </a:r>
          <a:endParaRPr kumimoji="1" lang="en-US" altLang="ja-JP" sz="1100">
            <a:solidFill>
              <a:sysClr val="windowText" lastClr="000000"/>
            </a:solidFill>
          </a:endParaRPr>
        </a:p>
        <a:p>
          <a:pPr>
            <a:lnSpc>
              <a:spcPts val="1100"/>
            </a:lnSpc>
          </a:pPr>
          <a:endParaRPr kumimoji="1" lang="en-US" altLang="ja-JP" sz="1100">
            <a:solidFill>
              <a:sysClr val="windowText" lastClr="000000"/>
            </a:solidFill>
          </a:endParaRPr>
        </a:p>
        <a:p>
          <a:r>
            <a:rPr kumimoji="1" lang="ja-JP" altLang="ja-JP" sz="1100">
              <a:solidFill>
                <a:schemeClr val="dk1"/>
              </a:solidFill>
              <a:effectLst/>
              <a:latin typeface="+mn-lt"/>
              <a:ea typeface="+mn-ea"/>
              <a:cs typeface="+mn-cs"/>
            </a:rPr>
            <a:t>②土間床等の外周長さＬの算出</a:t>
          </a:r>
          <a:endParaRPr lang="ja-JP" altLang="ja-JP" sz="1100">
            <a:effectLst/>
          </a:endParaRPr>
        </a:p>
        <a:p>
          <a:r>
            <a:rPr kumimoji="1" lang="ja-JP" altLang="ja-JP" sz="1100">
              <a:solidFill>
                <a:schemeClr val="dk1"/>
              </a:solidFill>
              <a:effectLst/>
              <a:latin typeface="+mn-lt"/>
              <a:ea typeface="+mn-ea"/>
              <a:cs typeface="+mn-cs"/>
            </a:rPr>
            <a:t>　全面基礎断熱の場合</a:t>
          </a:r>
          <a:endParaRPr lang="ja-JP" altLang="ja-JP" sz="1100">
            <a:effectLst/>
          </a:endParaRPr>
        </a:p>
        <a:p>
          <a:r>
            <a:rPr kumimoji="1" lang="ja-JP" altLang="ja-JP" sz="1100">
              <a:solidFill>
                <a:schemeClr val="dk1"/>
              </a:solidFill>
              <a:effectLst/>
              <a:latin typeface="+mn-lt"/>
              <a:ea typeface="+mn-ea"/>
              <a:cs typeface="+mn-cs"/>
            </a:rPr>
            <a:t>　　（Ｌ１＋Ｌ２）</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２＝Ｌ</a:t>
          </a:r>
          <a:endParaRPr lang="ja-JP" altLang="ja-JP" sz="1100">
            <a:effectLst/>
          </a:endParaRPr>
        </a:p>
        <a:p>
          <a:r>
            <a:rPr kumimoji="1" lang="ja-JP" altLang="ja-JP" sz="1100">
              <a:solidFill>
                <a:schemeClr val="dk1"/>
              </a:solidFill>
              <a:effectLst/>
              <a:latin typeface="+mn-lt"/>
              <a:ea typeface="+mn-ea"/>
              <a:cs typeface="+mn-cs"/>
            </a:rPr>
            <a:t>　玄関土間等、床の一部が基礎断熱の場合</a:t>
          </a:r>
          <a:endParaRPr lang="ja-JP" altLang="ja-JP" sz="1100">
            <a:effectLst/>
          </a:endParaRPr>
        </a:p>
        <a:p>
          <a:r>
            <a:rPr kumimoji="1" lang="ja-JP" altLang="ja-JP" sz="1100">
              <a:solidFill>
                <a:schemeClr val="dk1"/>
              </a:solidFill>
              <a:effectLst/>
              <a:latin typeface="+mn-lt"/>
              <a:ea typeface="+mn-ea"/>
              <a:cs typeface="+mn-cs"/>
            </a:rPr>
            <a:t>　　・温度差係数</a:t>
          </a:r>
          <a:r>
            <a:rPr kumimoji="1" lang="en-US" altLang="ja-JP" sz="1100">
              <a:solidFill>
                <a:schemeClr val="dk1"/>
              </a:solidFill>
              <a:effectLst/>
              <a:latin typeface="+mn-lt"/>
              <a:ea typeface="+mn-ea"/>
              <a:cs typeface="+mn-cs"/>
            </a:rPr>
            <a:t>0.7</a:t>
          </a:r>
          <a:r>
            <a:rPr kumimoji="1" lang="ja-JP" altLang="ja-JP" sz="1100">
              <a:solidFill>
                <a:schemeClr val="dk1"/>
              </a:solidFill>
              <a:effectLst/>
              <a:latin typeface="+mn-lt"/>
              <a:ea typeface="+mn-ea"/>
              <a:cs typeface="+mn-cs"/>
            </a:rPr>
            <a:t>の部分</a:t>
          </a:r>
          <a:endParaRPr lang="ja-JP" altLang="ja-JP" sz="1100">
            <a:effectLst/>
          </a:endParaRPr>
        </a:p>
        <a:p>
          <a:r>
            <a:rPr kumimoji="1" lang="ja-JP" altLang="ja-JP" sz="1100">
              <a:solidFill>
                <a:schemeClr val="dk1"/>
              </a:solidFill>
              <a:effectLst/>
              <a:latin typeface="+mn-lt"/>
              <a:ea typeface="+mn-ea"/>
              <a:cs typeface="+mn-cs"/>
            </a:rPr>
            <a:t>　　　Ｌ３＋Ｌ４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２＝Ｌ</a:t>
          </a:r>
          <a:endParaRPr lang="ja-JP" altLang="ja-JP" sz="1100">
            <a:effectLst/>
          </a:endParaRPr>
        </a:p>
        <a:p>
          <a:r>
            <a:rPr kumimoji="1" lang="ja-JP" altLang="ja-JP" sz="1100">
              <a:solidFill>
                <a:schemeClr val="dk1"/>
              </a:solidFill>
              <a:effectLst/>
              <a:latin typeface="+mn-lt"/>
              <a:ea typeface="+mn-ea"/>
              <a:cs typeface="+mn-cs"/>
            </a:rPr>
            <a:t>　　・温度差係数</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の部分</a:t>
          </a:r>
          <a:endParaRPr lang="ja-JP" altLang="ja-JP" sz="1100">
            <a:effectLst/>
          </a:endParaRPr>
        </a:p>
        <a:p>
          <a:r>
            <a:rPr kumimoji="1" lang="ja-JP" altLang="ja-JP" sz="1100">
              <a:solidFill>
                <a:schemeClr val="dk1"/>
              </a:solidFill>
              <a:effectLst/>
              <a:latin typeface="+mn-lt"/>
              <a:ea typeface="+mn-ea"/>
              <a:cs typeface="+mn-cs"/>
            </a:rPr>
            <a:t>　　　Ｌ３＝Ｌ</a:t>
          </a:r>
          <a:endParaRPr lang="ja-JP" altLang="ja-JP" sz="1100">
            <a:effectLst/>
          </a:endParaRPr>
        </a:p>
        <a:p>
          <a:r>
            <a:rPr kumimoji="1" lang="ja-JP" altLang="ja-JP" sz="1100">
              <a:solidFill>
                <a:schemeClr val="dk1"/>
              </a:solidFill>
              <a:effectLst/>
              <a:latin typeface="+mn-lt"/>
              <a:ea typeface="+mn-ea"/>
              <a:cs typeface="+mn-cs"/>
            </a:rPr>
            <a:t>　として入力する。</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③</a:t>
          </a:r>
          <a:r>
            <a:rPr lang="ja-JP" altLang="ja-JP" sz="1100">
              <a:solidFill>
                <a:schemeClr val="dk1"/>
              </a:solidFill>
              <a:effectLst/>
              <a:latin typeface="+mn-lt"/>
              <a:ea typeface="+mn-ea"/>
              <a:cs typeface="+mn-cs"/>
            </a:rPr>
            <a:t>日射の当たらない基礎等とは、床下空間等の日射の当たらない基礎です。</a:t>
          </a:r>
          <a:endParaRPr lang="ja-JP" altLang="ja-JP" sz="1100">
            <a:effectLst/>
          </a:endParaRPr>
        </a:p>
        <a:p>
          <a:r>
            <a:rPr kumimoji="1" lang="ja-JP" altLang="ja-JP" sz="1100">
              <a:solidFill>
                <a:schemeClr val="dk1"/>
              </a:solidFill>
              <a:effectLst/>
              <a:latin typeface="+mn-lt"/>
              <a:ea typeface="+mn-ea"/>
              <a:cs typeface="+mn-cs"/>
            </a:rPr>
            <a:t>該当する場合はチェックを入れてください。チェックを入れると温度差係数</a:t>
          </a:r>
          <a:r>
            <a:rPr kumimoji="1" lang="en-US" altLang="ja-JP" sz="1100">
              <a:solidFill>
                <a:schemeClr val="dk1"/>
              </a:solidFill>
              <a:effectLst/>
              <a:latin typeface="+mn-lt"/>
              <a:ea typeface="+mn-ea"/>
              <a:cs typeface="+mn-cs"/>
            </a:rPr>
            <a:t>0.7</a:t>
          </a:r>
          <a:r>
            <a:rPr kumimoji="1" lang="ja-JP" altLang="ja-JP" sz="1100">
              <a:solidFill>
                <a:schemeClr val="dk1"/>
              </a:solidFill>
              <a:effectLst/>
              <a:latin typeface="+mn-lt"/>
              <a:ea typeface="+mn-ea"/>
              <a:cs typeface="+mn-cs"/>
            </a:rPr>
            <a:t>で計算します。</a:t>
          </a:r>
          <a:endParaRPr lang="ja-JP" altLang="ja-JP" sz="1100">
            <a:effectLst/>
          </a:endParaRPr>
        </a:p>
        <a:p>
          <a:endParaRPr kumimoji="1" lang="ja-JP" altLang="en-US" sz="1050">
            <a:solidFill>
              <a:sysClr val="windowText" lastClr="000000"/>
            </a:solidFill>
          </a:endParaRPr>
        </a:p>
      </xdr:txBody>
    </xdr:sp>
    <xdr:clientData/>
  </xdr:twoCellAnchor>
  <xdr:twoCellAnchor>
    <xdr:from>
      <xdr:col>44</xdr:col>
      <xdr:colOff>62525</xdr:colOff>
      <xdr:row>32</xdr:row>
      <xdr:rowOff>122466</xdr:rowOff>
    </xdr:from>
    <xdr:to>
      <xdr:col>49</xdr:col>
      <xdr:colOff>149679</xdr:colOff>
      <xdr:row>33</xdr:row>
      <xdr:rowOff>122465</xdr:rowOff>
    </xdr:to>
    <xdr:sp macro="" textlink="">
      <xdr:nvSpPr>
        <xdr:cNvPr id="57" name="テキスト ボックス 56">
          <a:extLst>
            <a:ext uri="{FF2B5EF4-FFF2-40B4-BE49-F238E27FC236}">
              <a16:creationId xmlns:a16="http://schemas.microsoft.com/office/drawing/2014/main" id="{00000000-0008-0000-0A00-000039000000}"/>
            </a:ext>
          </a:extLst>
        </xdr:cNvPr>
        <xdr:cNvSpPr txBox="1"/>
      </xdr:nvSpPr>
      <xdr:spPr bwMode="auto">
        <a:xfrm>
          <a:off x="8768375" y="8075841"/>
          <a:ext cx="1468279"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solidFill>
                <a:sysClr val="windowText" lastClr="000000"/>
              </a:solidFill>
            </a:rPr>
            <a:t>【</a:t>
          </a:r>
          <a:r>
            <a:rPr kumimoji="1" lang="ja-JP" altLang="en-US" sz="1200" b="1">
              <a:solidFill>
                <a:sysClr val="windowText" lastClr="000000"/>
              </a:solidFill>
            </a:rPr>
            <a:t>基礎壁について</a:t>
          </a:r>
          <a:r>
            <a:rPr kumimoji="1" lang="en-US" altLang="ja-JP" sz="1200" b="1">
              <a:solidFill>
                <a:sysClr val="windowText" lastClr="000000"/>
              </a:solidFill>
            </a:rPr>
            <a:t>】</a:t>
          </a:r>
          <a:endParaRPr kumimoji="1" lang="ja-JP" altLang="en-US" sz="1100">
            <a:solidFill>
              <a:sysClr val="windowText" lastClr="000000"/>
            </a:solidFill>
          </a:endParaRPr>
        </a:p>
      </xdr:txBody>
    </xdr:sp>
    <xdr:clientData/>
  </xdr:twoCellAnchor>
  <xdr:twoCellAnchor editAs="oneCell">
    <xdr:from>
      <xdr:col>58</xdr:col>
      <xdr:colOff>381000</xdr:colOff>
      <xdr:row>34</xdr:row>
      <xdr:rowOff>115661</xdr:rowOff>
    </xdr:from>
    <xdr:to>
      <xdr:col>66</xdr:col>
      <xdr:colOff>306984</xdr:colOff>
      <xdr:row>44</xdr:row>
      <xdr:rowOff>67434</xdr:rowOff>
    </xdr:to>
    <xdr:pic>
      <xdr:nvPicPr>
        <xdr:cNvPr id="28" name="図 27">
          <a:extLst>
            <a:ext uri="{FF2B5EF4-FFF2-40B4-BE49-F238E27FC236}">
              <a16:creationId xmlns:a16="http://schemas.microsoft.com/office/drawing/2014/main" id="{00000000-0008-0000-0A00-00001C000000}"/>
            </a:ext>
          </a:extLst>
        </xdr:cNvPr>
        <xdr:cNvPicPr>
          <a:picLocks noChangeAspect="1"/>
        </xdr:cNvPicPr>
      </xdr:nvPicPr>
      <xdr:blipFill>
        <a:blip xmlns:r="http://schemas.openxmlformats.org/officeDocument/2006/relationships" r:embed="rId3"/>
        <a:stretch>
          <a:fillRect/>
        </a:stretch>
      </xdr:blipFill>
      <xdr:spPr>
        <a:xfrm>
          <a:off x="13695590" y="8688161"/>
          <a:ext cx="5096698" cy="2469094"/>
        </a:xfrm>
        <a:prstGeom prst="rect">
          <a:avLst/>
        </a:prstGeom>
      </xdr:spPr>
    </xdr:pic>
    <xdr:clientData/>
  </xdr:twoCellAnchor>
  <xdr:twoCellAnchor>
    <xdr:from>
      <xdr:col>44</xdr:col>
      <xdr:colOff>80214</xdr:colOff>
      <xdr:row>33</xdr:row>
      <xdr:rowOff>95250</xdr:rowOff>
    </xdr:from>
    <xdr:to>
      <xdr:col>48</xdr:col>
      <xdr:colOff>231320</xdr:colOff>
      <xdr:row>34</xdr:row>
      <xdr:rowOff>176893</xdr:rowOff>
    </xdr:to>
    <xdr:sp macro="" textlink="">
      <xdr:nvSpPr>
        <xdr:cNvPr id="59" name="テキスト ボックス 58">
          <a:extLst>
            <a:ext uri="{FF2B5EF4-FFF2-40B4-BE49-F238E27FC236}">
              <a16:creationId xmlns:a16="http://schemas.microsoft.com/office/drawing/2014/main" id="{00000000-0008-0000-0A00-00003B000000}"/>
            </a:ext>
          </a:extLst>
        </xdr:cNvPr>
        <xdr:cNvSpPr txBox="1"/>
      </xdr:nvSpPr>
      <xdr:spPr bwMode="auto">
        <a:xfrm>
          <a:off x="8224090" y="8416019"/>
          <a:ext cx="1185249"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b="1">
              <a:solidFill>
                <a:sysClr val="windowText" lastClr="000000"/>
              </a:solidFill>
            </a:rPr>
            <a:t>＜新計算法＞</a:t>
          </a:r>
          <a:endParaRPr kumimoji="1" lang="ja-JP" altLang="en-US" sz="1100">
            <a:solidFill>
              <a:sysClr val="windowText" lastClr="000000"/>
            </a:solidFill>
          </a:endParaRPr>
        </a:p>
      </xdr:txBody>
    </xdr:sp>
    <xdr:clientData/>
  </xdr:twoCellAnchor>
  <xdr:twoCellAnchor>
    <xdr:from>
      <xdr:col>59</xdr:col>
      <xdr:colOff>35311</xdr:colOff>
      <xdr:row>33</xdr:row>
      <xdr:rowOff>118381</xdr:rowOff>
    </xdr:from>
    <xdr:to>
      <xdr:col>60</xdr:col>
      <xdr:colOff>574220</xdr:colOff>
      <xdr:row>34</xdr:row>
      <xdr:rowOff>200024</xdr:rowOff>
    </xdr:to>
    <xdr:sp macro="" textlink="">
      <xdr:nvSpPr>
        <xdr:cNvPr id="60" name="テキスト ボックス 59">
          <a:extLst>
            <a:ext uri="{FF2B5EF4-FFF2-40B4-BE49-F238E27FC236}">
              <a16:creationId xmlns:a16="http://schemas.microsoft.com/office/drawing/2014/main" id="{00000000-0008-0000-0A00-00003C000000}"/>
            </a:ext>
          </a:extLst>
        </xdr:cNvPr>
        <xdr:cNvSpPr txBox="1"/>
      </xdr:nvSpPr>
      <xdr:spPr bwMode="auto">
        <a:xfrm>
          <a:off x="13996240" y="8439150"/>
          <a:ext cx="1185249"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b="1">
              <a:solidFill>
                <a:sysClr val="windowText" lastClr="000000"/>
              </a:solidFill>
            </a:rPr>
            <a:t>＜旧計算法＞</a:t>
          </a:r>
          <a:endParaRPr kumimoji="1" lang="ja-JP" altLang="en-US" sz="1100">
            <a:solidFill>
              <a:sysClr val="windowText" lastClr="000000"/>
            </a:solidFill>
          </a:endParaRPr>
        </a:p>
      </xdr:txBody>
    </xdr:sp>
    <xdr:clientData/>
  </xdr:twoCellAnchor>
  <xdr:twoCellAnchor>
    <xdr:from>
      <xdr:col>59</xdr:col>
      <xdr:colOff>12423</xdr:colOff>
      <xdr:row>38</xdr:row>
      <xdr:rowOff>194642</xdr:rowOff>
    </xdr:from>
    <xdr:to>
      <xdr:col>59</xdr:col>
      <xdr:colOff>592206</xdr:colOff>
      <xdr:row>39</xdr:row>
      <xdr:rowOff>178076</xdr:rowOff>
    </xdr:to>
    <xdr:sp macro="" textlink="">
      <xdr:nvSpPr>
        <xdr:cNvPr id="29" name="正方形/長方形 28">
          <a:extLst>
            <a:ext uri="{FF2B5EF4-FFF2-40B4-BE49-F238E27FC236}">
              <a16:creationId xmlns:a16="http://schemas.microsoft.com/office/drawing/2014/main" id="{00000000-0008-0000-0A00-00001D000000}"/>
            </a:ext>
          </a:extLst>
        </xdr:cNvPr>
        <xdr:cNvSpPr/>
      </xdr:nvSpPr>
      <xdr:spPr bwMode="auto">
        <a:xfrm>
          <a:off x="13898217" y="9810751"/>
          <a:ext cx="579783" cy="236054"/>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800"/>
            <a:t>（基礎壁）</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136072</xdr:colOff>
      <xdr:row>16</xdr:row>
      <xdr:rowOff>1601</xdr:rowOff>
    </xdr:from>
    <xdr:to>
      <xdr:col>16</xdr:col>
      <xdr:colOff>125425</xdr:colOff>
      <xdr:row>30</xdr:row>
      <xdr:rowOff>5122</xdr:rowOff>
    </xdr:to>
    <xdr:pic>
      <xdr:nvPicPr>
        <xdr:cNvPr id="2" name="Picture 4">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6072" y="5888051"/>
          <a:ext cx="5018553" cy="2403821"/>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79374</xdr:colOff>
      <xdr:row>1</xdr:row>
      <xdr:rowOff>111124</xdr:rowOff>
    </xdr:from>
    <xdr:to>
      <xdr:col>10</xdr:col>
      <xdr:colOff>547796</xdr:colOff>
      <xdr:row>56</xdr:row>
      <xdr:rowOff>15875</xdr:rowOff>
    </xdr:to>
    <xdr:pic>
      <xdr:nvPicPr>
        <xdr:cNvPr id="3" name="図 2">
          <a:extLst>
            <a:ext uri="{FF2B5EF4-FFF2-40B4-BE49-F238E27FC236}">
              <a16:creationId xmlns:a16="http://schemas.microsoft.com/office/drawing/2014/main" id="{65E9201D-C7F5-946E-CE7B-FFE2068AC725}"/>
            </a:ext>
          </a:extLst>
        </xdr:cNvPr>
        <xdr:cNvPicPr>
          <a:picLocks noChangeAspect="1"/>
        </xdr:cNvPicPr>
      </xdr:nvPicPr>
      <xdr:blipFill>
        <a:blip xmlns:r="http://schemas.openxmlformats.org/officeDocument/2006/relationships" r:embed="rId1"/>
        <a:stretch>
          <a:fillRect/>
        </a:stretch>
      </xdr:blipFill>
      <xdr:spPr>
        <a:xfrm>
          <a:off x="79374" y="285749"/>
          <a:ext cx="7294672" cy="950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270944</xdr:colOff>
      <xdr:row>21</xdr:row>
      <xdr:rowOff>110657</xdr:rowOff>
    </xdr:from>
    <xdr:to>
      <xdr:col>7</xdr:col>
      <xdr:colOff>27314</xdr:colOff>
      <xdr:row>30</xdr:row>
      <xdr:rowOff>204508</xdr:rowOff>
    </xdr:to>
    <xdr:grpSp>
      <xdr:nvGrpSpPr>
        <xdr:cNvPr id="2" name="グループ化 2">
          <a:extLst>
            <a:ext uri="{FF2B5EF4-FFF2-40B4-BE49-F238E27FC236}">
              <a16:creationId xmlns:a16="http://schemas.microsoft.com/office/drawing/2014/main" id="{00000000-0008-0000-0100-000002000000}"/>
            </a:ext>
          </a:extLst>
        </xdr:cNvPr>
        <xdr:cNvGrpSpPr>
          <a:grpSpLocks/>
        </xdr:cNvGrpSpPr>
      </xdr:nvGrpSpPr>
      <xdr:grpSpPr bwMode="auto">
        <a:xfrm>
          <a:off x="338179" y="5736010"/>
          <a:ext cx="1504488" cy="2458292"/>
          <a:chOff x="447674" y="5345937"/>
          <a:chExt cx="2647457" cy="2740711"/>
        </a:xfrm>
      </xdr:grpSpPr>
      <xdr:pic>
        <xdr:nvPicPr>
          <xdr:cNvPr id="3" name="Picture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07521" name="Check Box 1" hidden="1">
              <a:extLst>
                <a:ext uri="{63B3BB69-23CF-44E3-9099-C40C66FF867C}">
                  <a14:compatExt spid="_x0000_s107521"/>
                </a:ext>
                <a:ext uri="{FF2B5EF4-FFF2-40B4-BE49-F238E27FC236}">
                  <a16:creationId xmlns:a16="http://schemas.microsoft.com/office/drawing/2014/main" id="{00000000-0008-0000-0100-000001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07522" name="Check Box 2" hidden="1">
              <a:extLst>
                <a:ext uri="{63B3BB69-23CF-44E3-9099-C40C66FF867C}">
                  <a14:compatExt spid="_x0000_s107522"/>
                </a:ext>
                <a:ext uri="{FF2B5EF4-FFF2-40B4-BE49-F238E27FC236}">
                  <a16:creationId xmlns:a16="http://schemas.microsoft.com/office/drawing/2014/main" id="{00000000-0008-0000-0100-000002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07523" name="Check Box 3" hidden="1">
              <a:extLst>
                <a:ext uri="{63B3BB69-23CF-44E3-9099-C40C66FF867C}">
                  <a14:compatExt spid="_x0000_s107523"/>
                </a:ext>
                <a:ext uri="{FF2B5EF4-FFF2-40B4-BE49-F238E27FC236}">
                  <a16:creationId xmlns:a16="http://schemas.microsoft.com/office/drawing/2014/main" id="{00000000-0008-0000-0100-000003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07524" name="Check Box 4" hidden="1">
              <a:extLst>
                <a:ext uri="{63B3BB69-23CF-44E3-9099-C40C66FF867C}">
                  <a14:compatExt spid="_x0000_s107524"/>
                </a:ext>
                <a:ext uri="{FF2B5EF4-FFF2-40B4-BE49-F238E27FC236}">
                  <a16:creationId xmlns:a16="http://schemas.microsoft.com/office/drawing/2014/main" id="{00000000-0008-0000-0100-000004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07525" name="Check Box 5" hidden="1">
              <a:extLst>
                <a:ext uri="{63B3BB69-23CF-44E3-9099-C40C66FF867C}">
                  <a14:compatExt spid="_x0000_s107525"/>
                </a:ext>
                <a:ext uri="{FF2B5EF4-FFF2-40B4-BE49-F238E27FC236}">
                  <a16:creationId xmlns:a16="http://schemas.microsoft.com/office/drawing/2014/main" id="{00000000-0008-0000-0100-000005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07526" name="Check Box 6" hidden="1">
              <a:extLst>
                <a:ext uri="{63B3BB69-23CF-44E3-9099-C40C66FF867C}">
                  <a14:compatExt spid="_x0000_s107526"/>
                </a:ext>
                <a:ext uri="{FF2B5EF4-FFF2-40B4-BE49-F238E27FC236}">
                  <a16:creationId xmlns:a16="http://schemas.microsoft.com/office/drawing/2014/main" id="{00000000-0008-0000-0100-000006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07527" name="Check Box 7" hidden="1">
              <a:extLst>
                <a:ext uri="{63B3BB69-23CF-44E3-9099-C40C66FF867C}">
                  <a14:compatExt spid="_x0000_s107527"/>
                </a:ext>
                <a:ext uri="{FF2B5EF4-FFF2-40B4-BE49-F238E27FC236}">
                  <a16:creationId xmlns:a16="http://schemas.microsoft.com/office/drawing/2014/main" id="{00000000-0008-0000-0100-000007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07528" name="Check Box 8" hidden="1">
              <a:extLst>
                <a:ext uri="{63B3BB69-23CF-44E3-9099-C40C66FF867C}">
                  <a14:compatExt spid="_x0000_s107528"/>
                </a:ext>
                <a:ext uri="{FF2B5EF4-FFF2-40B4-BE49-F238E27FC236}">
                  <a16:creationId xmlns:a16="http://schemas.microsoft.com/office/drawing/2014/main" id="{00000000-0008-0000-0100-000008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07529" name="Check Box 9" hidden="1">
              <a:extLst>
                <a:ext uri="{63B3BB69-23CF-44E3-9099-C40C66FF867C}">
                  <a14:compatExt spid="_x0000_s107529"/>
                </a:ext>
                <a:ext uri="{FF2B5EF4-FFF2-40B4-BE49-F238E27FC236}">
                  <a16:creationId xmlns:a16="http://schemas.microsoft.com/office/drawing/2014/main" id="{00000000-0008-0000-0100-000009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07530" name="Check Box 10" hidden="1">
              <a:extLst>
                <a:ext uri="{63B3BB69-23CF-44E3-9099-C40C66FF867C}">
                  <a14:compatExt spid="_x0000_s107530"/>
                </a:ext>
                <a:ext uri="{FF2B5EF4-FFF2-40B4-BE49-F238E27FC236}">
                  <a16:creationId xmlns:a16="http://schemas.microsoft.com/office/drawing/2014/main" id="{00000000-0008-0000-0100-00000A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07531" name="Check Box 11" hidden="1">
              <a:extLst>
                <a:ext uri="{63B3BB69-23CF-44E3-9099-C40C66FF867C}">
                  <a14:compatExt spid="_x0000_s107531"/>
                </a:ext>
                <a:ext uri="{FF2B5EF4-FFF2-40B4-BE49-F238E27FC236}">
                  <a16:creationId xmlns:a16="http://schemas.microsoft.com/office/drawing/2014/main" id="{00000000-0008-0000-0100-00000B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07532" name="Check Box 12" hidden="1">
              <a:extLst>
                <a:ext uri="{63B3BB69-23CF-44E3-9099-C40C66FF867C}">
                  <a14:compatExt spid="_x0000_s107532"/>
                </a:ext>
                <a:ext uri="{FF2B5EF4-FFF2-40B4-BE49-F238E27FC236}">
                  <a16:creationId xmlns:a16="http://schemas.microsoft.com/office/drawing/2014/main" id="{00000000-0008-0000-0100-00000C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257175</xdr:rowOff>
        </xdr:to>
        <xdr:sp macro="" textlink="">
          <xdr:nvSpPr>
            <xdr:cNvPr id="117761" name="Check Box 1" hidden="1">
              <a:extLst>
                <a:ext uri="{63B3BB69-23CF-44E3-9099-C40C66FF867C}">
                  <a14:compatExt spid="_x0000_s117761"/>
                </a:ext>
                <a:ext uri="{FF2B5EF4-FFF2-40B4-BE49-F238E27FC236}">
                  <a16:creationId xmlns:a16="http://schemas.microsoft.com/office/drawing/2014/main" id="{00000000-0008-0000-0200-000001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257175</xdr:rowOff>
        </xdr:to>
        <xdr:sp macro="" textlink="">
          <xdr:nvSpPr>
            <xdr:cNvPr id="117762" name="Check Box 2" hidden="1">
              <a:extLst>
                <a:ext uri="{63B3BB69-23CF-44E3-9099-C40C66FF867C}">
                  <a14:compatExt spid="_x0000_s117762"/>
                </a:ext>
                <a:ext uri="{FF2B5EF4-FFF2-40B4-BE49-F238E27FC236}">
                  <a16:creationId xmlns:a16="http://schemas.microsoft.com/office/drawing/2014/main" id="{00000000-0008-0000-0200-000002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257175</xdr:rowOff>
        </xdr:to>
        <xdr:sp macro="" textlink="">
          <xdr:nvSpPr>
            <xdr:cNvPr id="117763" name="Check Box 3" hidden="1">
              <a:extLst>
                <a:ext uri="{63B3BB69-23CF-44E3-9099-C40C66FF867C}">
                  <a14:compatExt spid="_x0000_s117763"/>
                </a:ext>
                <a:ext uri="{FF2B5EF4-FFF2-40B4-BE49-F238E27FC236}">
                  <a16:creationId xmlns:a16="http://schemas.microsoft.com/office/drawing/2014/main" id="{00000000-0008-0000-0200-000003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257175</xdr:rowOff>
        </xdr:to>
        <xdr:sp macro="" textlink="">
          <xdr:nvSpPr>
            <xdr:cNvPr id="117764" name="Check Box 4" hidden="1">
              <a:extLst>
                <a:ext uri="{63B3BB69-23CF-44E3-9099-C40C66FF867C}">
                  <a14:compatExt spid="_x0000_s117764"/>
                </a:ext>
                <a:ext uri="{FF2B5EF4-FFF2-40B4-BE49-F238E27FC236}">
                  <a16:creationId xmlns:a16="http://schemas.microsoft.com/office/drawing/2014/main" id="{00000000-0008-0000-0200-000004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257175</xdr:rowOff>
        </xdr:to>
        <xdr:sp macro="" textlink="">
          <xdr:nvSpPr>
            <xdr:cNvPr id="117765" name="Check Box 5" hidden="1">
              <a:extLst>
                <a:ext uri="{63B3BB69-23CF-44E3-9099-C40C66FF867C}">
                  <a14:compatExt spid="_x0000_s117765"/>
                </a:ext>
                <a:ext uri="{FF2B5EF4-FFF2-40B4-BE49-F238E27FC236}">
                  <a16:creationId xmlns:a16="http://schemas.microsoft.com/office/drawing/2014/main" id="{00000000-0008-0000-0200-000005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257175</xdr:rowOff>
        </xdr:to>
        <xdr:sp macro="" textlink="">
          <xdr:nvSpPr>
            <xdr:cNvPr id="117766" name="Check Box 6" hidden="1">
              <a:extLst>
                <a:ext uri="{63B3BB69-23CF-44E3-9099-C40C66FF867C}">
                  <a14:compatExt spid="_x0000_s117766"/>
                </a:ext>
                <a:ext uri="{FF2B5EF4-FFF2-40B4-BE49-F238E27FC236}">
                  <a16:creationId xmlns:a16="http://schemas.microsoft.com/office/drawing/2014/main" id="{00000000-0008-0000-0200-000006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257175</xdr:rowOff>
        </xdr:to>
        <xdr:sp macro="" textlink="">
          <xdr:nvSpPr>
            <xdr:cNvPr id="117767" name="Check Box 7" hidden="1">
              <a:extLst>
                <a:ext uri="{63B3BB69-23CF-44E3-9099-C40C66FF867C}">
                  <a14:compatExt spid="_x0000_s117767"/>
                </a:ext>
                <a:ext uri="{FF2B5EF4-FFF2-40B4-BE49-F238E27FC236}">
                  <a16:creationId xmlns:a16="http://schemas.microsoft.com/office/drawing/2014/main" id="{00000000-0008-0000-0200-000007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257175</xdr:rowOff>
        </xdr:to>
        <xdr:sp macro="" textlink="">
          <xdr:nvSpPr>
            <xdr:cNvPr id="117768" name="Check Box 8" hidden="1">
              <a:extLst>
                <a:ext uri="{63B3BB69-23CF-44E3-9099-C40C66FF867C}">
                  <a14:compatExt spid="_x0000_s117768"/>
                </a:ext>
                <a:ext uri="{FF2B5EF4-FFF2-40B4-BE49-F238E27FC236}">
                  <a16:creationId xmlns:a16="http://schemas.microsoft.com/office/drawing/2014/main" id="{00000000-0008-0000-0200-000008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257175</xdr:rowOff>
        </xdr:to>
        <xdr:sp macro="" textlink="">
          <xdr:nvSpPr>
            <xdr:cNvPr id="117769" name="Check Box 9" hidden="1">
              <a:extLst>
                <a:ext uri="{63B3BB69-23CF-44E3-9099-C40C66FF867C}">
                  <a14:compatExt spid="_x0000_s117769"/>
                </a:ext>
                <a:ext uri="{FF2B5EF4-FFF2-40B4-BE49-F238E27FC236}">
                  <a16:creationId xmlns:a16="http://schemas.microsoft.com/office/drawing/2014/main" id="{00000000-0008-0000-0200-000009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257175</xdr:rowOff>
        </xdr:to>
        <xdr:sp macro="" textlink="">
          <xdr:nvSpPr>
            <xdr:cNvPr id="117770" name="Check Box 10" hidden="1">
              <a:extLst>
                <a:ext uri="{63B3BB69-23CF-44E3-9099-C40C66FF867C}">
                  <a14:compatExt spid="_x0000_s117770"/>
                </a:ext>
                <a:ext uri="{FF2B5EF4-FFF2-40B4-BE49-F238E27FC236}">
                  <a16:creationId xmlns:a16="http://schemas.microsoft.com/office/drawing/2014/main" id="{00000000-0008-0000-0200-00000A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257175</xdr:rowOff>
        </xdr:to>
        <xdr:sp macro="" textlink="">
          <xdr:nvSpPr>
            <xdr:cNvPr id="117771" name="Check Box 11" hidden="1">
              <a:extLst>
                <a:ext uri="{63B3BB69-23CF-44E3-9099-C40C66FF867C}">
                  <a14:compatExt spid="_x0000_s117771"/>
                </a:ext>
                <a:ext uri="{FF2B5EF4-FFF2-40B4-BE49-F238E27FC236}">
                  <a16:creationId xmlns:a16="http://schemas.microsoft.com/office/drawing/2014/main" id="{00000000-0008-0000-0200-00000B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257175</xdr:rowOff>
        </xdr:to>
        <xdr:sp macro="" textlink="">
          <xdr:nvSpPr>
            <xdr:cNvPr id="117772" name="Check Box 12" hidden="1">
              <a:extLst>
                <a:ext uri="{63B3BB69-23CF-44E3-9099-C40C66FF867C}">
                  <a14:compatExt spid="_x0000_s117772"/>
                </a:ext>
                <a:ext uri="{FF2B5EF4-FFF2-40B4-BE49-F238E27FC236}">
                  <a16:creationId xmlns:a16="http://schemas.microsoft.com/office/drawing/2014/main" id="{00000000-0008-0000-0200-00000C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200-000011000000}"/>
            </a:ext>
          </a:extLst>
        </xdr:cNvPr>
        <xdr:cNvGrpSpPr>
          <a:grpSpLocks/>
        </xdr:cNvGrpSpPr>
      </xdr:nvGrpSpPr>
      <xdr:grpSpPr bwMode="auto">
        <a:xfrm>
          <a:off x="338179" y="5736010"/>
          <a:ext cx="1504488" cy="2458292"/>
          <a:chOff x="447674" y="5345937"/>
          <a:chExt cx="2647457" cy="2740711"/>
        </a:xfrm>
      </xdr:grpSpPr>
      <xdr:pic>
        <xdr:nvPicPr>
          <xdr:cNvPr id="18" name="Picture 1">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18785" name="Check Box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18786" name="Check Box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18787" name="Check Box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18788" name="Check Box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18789" name="Check Box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18790" name="Check Box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18791" name="Check Box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18792" name="Check Box 8" hidden="1">
              <a:extLst>
                <a:ext uri="{63B3BB69-23CF-44E3-9099-C40C66FF867C}">
                  <a14:compatExt spid="_x0000_s118792"/>
                </a:ext>
                <a:ext uri="{FF2B5EF4-FFF2-40B4-BE49-F238E27FC236}">
                  <a16:creationId xmlns:a16="http://schemas.microsoft.com/office/drawing/2014/main" id="{00000000-0008-0000-0300-000008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18793" name="Check Box 9" hidden="1">
              <a:extLst>
                <a:ext uri="{63B3BB69-23CF-44E3-9099-C40C66FF867C}">
                  <a14:compatExt spid="_x0000_s118793"/>
                </a:ext>
                <a:ext uri="{FF2B5EF4-FFF2-40B4-BE49-F238E27FC236}">
                  <a16:creationId xmlns:a16="http://schemas.microsoft.com/office/drawing/2014/main" id="{00000000-0008-0000-0300-000009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18794" name="Check Box 10" hidden="1">
              <a:extLst>
                <a:ext uri="{63B3BB69-23CF-44E3-9099-C40C66FF867C}">
                  <a14:compatExt spid="_x0000_s118794"/>
                </a:ext>
                <a:ext uri="{FF2B5EF4-FFF2-40B4-BE49-F238E27FC236}">
                  <a16:creationId xmlns:a16="http://schemas.microsoft.com/office/drawing/2014/main" id="{00000000-0008-0000-0300-00000A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18795" name="Check Box 11" hidden="1">
              <a:extLst>
                <a:ext uri="{63B3BB69-23CF-44E3-9099-C40C66FF867C}">
                  <a14:compatExt spid="_x0000_s118795"/>
                </a:ext>
                <a:ext uri="{FF2B5EF4-FFF2-40B4-BE49-F238E27FC236}">
                  <a16:creationId xmlns:a16="http://schemas.microsoft.com/office/drawing/2014/main" id="{00000000-0008-0000-0300-00000B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18796" name="Check Box 12" hidden="1">
              <a:extLst>
                <a:ext uri="{63B3BB69-23CF-44E3-9099-C40C66FF867C}">
                  <a14:compatExt spid="_x0000_s118796"/>
                </a:ext>
                <a:ext uri="{FF2B5EF4-FFF2-40B4-BE49-F238E27FC236}">
                  <a16:creationId xmlns:a16="http://schemas.microsoft.com/office/drawing/2014/main" id="{00000000-0008-0000-0300-00000C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300-000011000000}"/>
            </a:ext>
          </a:extLst>
        </xdr:cNvPr>
        <xdr:cNvGrpSpPr>
          <a:grpSpLocks/>
        </xdr:cNvGrpSpPr>
      </xdr:nvGrpSpPr>
      <xdr:grpSpPr bwMode="auto">
        <a:xfrm>
          <a:off x="338179" y="5736010"/>
          <a:ext cx="1504488" cy="2458292"/>
          <a:chOff x="447674" y="5345937"/>
          <a:chExt cx="2647457" cy="2740711"/>
        </a:xfrm>
      </xdr:grpSpPr>
      <xdr:pic>
        <xdr:nvPicPr>
          <xdr:cNvPr id="18" name="Picture 1">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19809" name="Check Box 1" hidden="1">
              <a:extLst>
                <a:ext uri="{63B3BB69-23CF-44E3-9099-C40C66FF867C}">
                  <a14:compatExt spid="_x0000_s119809"/>
                </a:ext>
                <a:ext uri="{FF2B5EF4-FFF2-40B4-BE49-F238E27FC236}">
                  <a16:creationId xmlns:a16="http://schemas.microsoft.com/office/drawing/2014/main" id="{00000000-0008-0000-04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19810" name="Check Box 2" hidden="1">
              <a:extLst>
                <a:ext uri="{63B3BB69-23CF-44E3-9099-C40C66FF867C}">
                  <a14:compatExt spid="_x0000_s119810"/>
                </a:ext>
                <a:ext uri="{FF2B5EF4-FFF2-40B4-BE49-F238E27FC236}">
                  <a16:creationId xmlns:a16="http://schemas.microsoft.com/office/drawing/2014/main" id="{00000000-0008-0000-04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19811" name="Check Box 3" hidden="1">
              <a:extLst>
                <a:ext uri="{63B3BB69-23CF-44E3-9099-C40C66FF867C}">
                  <a14:compatExt spid="_x0000_s119811"/>
                </a:ext>
                <a:ext uri="{FF2B5EF4-FFF2-40B4-BE49-F238E27FC236}">
                  <a16:creationId xmlns:a16="http://schemas.microsoft.com/office/drawing/2014/main" id="{00000000-0008-0000-0400-00000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19812" name="Check Box 4" hidden="1">
              <a:extLst>
                <a:ext uri="{63B3BB69-23CF-44E3-9099-C40C66FF867C}">
                  <a14:compatExt spid="_x0000_s119812"/>
                </a:ext>
                <a:ext uri="{FF2B5EF4-FFF2-40B4-BE49-F238E27FC236}">
                  <a16:creationId xmlns:a16="http://schemas.microsoft.com/office/drawing/2014/main" id="{00000000-0008-0000-04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19813" name="Check Box 5" hidden="1">
              <a:extLst>
                <a:ext uri="{63B3BB69-23CF-44E3-9099-C40C66FF867C}">
                  <a14:compatExt spid="_x0000_s119813"/>
                </a:ext>
                <a:ext uri="{FF2B5EF4-FFF2-40B4-BE49-F238E27FC236}">
                  <a16:creationId xmlns:a16="http://schemas.microsoft.com/office/drawing/2014/main" id="{00000000-0008-0000-04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19814" name="Check Box 6" hidden="1">
              <a:extLst>
                <a:ext uri="{63B3BB69-23CF-44E3-9099-C40C66FF867C}">
                  <a14:compatExt spid="_x0000_s119814"/>
                </a:ext>
                <a:ext uri="{FF2B5EF4-FFF2-40B4-BE49-F238E27FC236}">
                  <a16:creationId xmlns:a16="http://schemas.microsoft.com/office/drawing/2014/main" id="{00000000-0008-0000-04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19815" name="Check Box 7" hidden="1">
              <a:extLst>
                <a:ext uri="{63B3BB69-23CF-44E3-9099-C40C66FF867C}">
                  <a14:compatExt spid="_x0000_s119815"/>
                </a:ext>
                <a:ext uri="{FF2B5EF4-FFF2-40B4-BE49-F238E27FC236}">
                  <a16:creationId xmlns:a16="http://schemas.microsoft.com/office/drawing/2014/main" id="{00000000-0008-0000-04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19816" name="Check Box 8" hidden="1">
              <a:extLst>
                <a:ext uri="{63B3BB69-23CF-44E3-9099-C40C66FF867C}">
                  <a14:compatExt spid="_x0000_s119816"/>
                </a:ext>
                <a:ext uri="{FF2B5EF4-FFF2-40B4-BE49-F238E27FC236}">
                  <a16:creationId xmlns:a16="http://schemas.microsoft.com/office/drawing/2014/main" id="{00000000-0008-0000-0400-000008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19817" name="Check Box 9" hidden="1">
              <a:extLst>
                <a:ext uri="{63B3BB69-23CF-44E3-9099-C40C66FF867C}">
                  <a14:compatExt spid="_x0000_s119817"/>
                </a:ext>
                <a:ext uri="{FF2B5EF4-FFF2-40B4-BE49-F238E27FC236}">
                  <a16:creationId xmlns:a16="http://schemas.microsoft.com/office/drawing/2014/main" id="{00000000-0008-0000-0400-000009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19818" name="Check Box 10" hidden="1">
              <a:extLst>
                <a:ext uri="{63B3BB69-23CF-44E3-9099-C40C66FF867C}">
                  <a14:compatExt spid="_x0000_s119818"/>
                </a:ext>
                <a:ext uri="{FF2B5EF4-FFF2-40B4-BE49-F238E27FC236}">
                  <a16:creationId xmlns:a16="http://schemas.microsoft.com/office/drawing/2014/main" id="{00000000-0008-0000-0400-00000A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19819" name="Check Box 11" hidden="1">
              <a:extLst>
                <a:ext uri="{63B3BB69-23CF-44E3-9099-C40C66FF867C}">
                  <a14:compatExt spid="_x0000_s119819"/>
                </a:ext>
                <a:ext uri="{FF2B5EF4-FFF2-40B4-BE49-F238E27FC236}">
                  <a16:creationId xmlns:a16="http://schemas.microsoft.com/office/drawing/2014/main" id="{00000000-0008-0000-0400-00000B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19820" name="Check Box 12" hidden="1">
              <a:extLst>
                <a:ext uri="{63B3BB69-23CF-44E3-9099-C40C66FF867C}">
                  <a14:compatExt spid="_x0000_s119820"/>
                </a:ext>
                <a:ext uri="{FF2B5EF4-FFF2-40B4-BE49-F238E27FC236}">
                  <a16:creationId xmlns:a16="http://schemas.microsoft.com/office/drawing/2014/main" id="{00000000-0008-0000-0400-00000C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400-000011000000}"/>
            </a:ext>
          </a:extLst>
        </xdr:cNvPr>
        <xdr:cNvGrpSpPr>
          <a:grpSpLocks/>
        </xdr:cNvGrpSpPr>
      </xdr:nvGrpSpPr>
      <xdr:grpSpPr bwMode="auto">
        <a:xfrm>
          <a:off x="338179" y="5736010"/>
          <a:ext cx="1504488" cy="2458292"/>
          <a:chOff x="447674" y="5345937"/>
          <a:chExt cx="2647457" cy="2740711"/>
        </a:xfrm>
      </xdr:grpSpPr>
      <xdr:pic>
        <xdr:nvPicPr>
          <xdr:cNvPr id="18" name="Picture 1">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20833" name="Check Box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20834" name="Check Box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20835" name="Check Box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20836" name="Check Box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20837" name="Check Box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20838" name="Check Box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20839" name="Check Box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20840" name="Check Box 8" hidden="1">
              <a:extLst>
                <a:ext uri="{63B3BB69-23CF-44E3-9099-C40C66FF867C}">
                  <a14:compatExt spid="_x0000_s120840"/>
                </a:ext>
                <a:ext uri="{FF2B5EF4-FFF2-40B4-BE49-F238E27FC236}">
                  <a16:creationId xmlns:a16="http://schemas.microsoft.com/office/drawing/2014/main" id="{00000000-0008-0000-0500-000008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20841" name="Check Box 9" hidden="1">
              <a:extLst>
                <a:ext uri="{63B3BB69-23CF-44E3-9099-C40C66FF867C}">
                  <a14:compatExt spid="_x0000_s120841"/>
                </a:ext>
                <a:ext uri="{FF2B5EF4-FFF2-40B4-BE49-F238E27FC236}">
                  <a16:creationId xmlns:a16="http://schemas.microsoft.com/office/drawing/2014/main" id="{00000000-0008-0000-0500-000009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20842" name="Check Box 10" hidden="1">
              <a:extLst>
                <a:ext uri="{63B3BB69-23CF-44E3-9099-C40C66FF867C}">
                  <a14:compatExt spid="_x0000_s120842"/>
                </a:ext>
                <a:ext uri="{FF2B5EF4-FFF2-40B4-BE49-F238E27FC236}">
                  <a16:creationId xmlns:a16="http://schemas.microsoft.com/office/drawing/2014/main" id="{00000000-0008-0000-0500-00000A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20843" name="Check Box 11" hidden="1">
              <a:extLst>
                <a:ext uri="{63B3BB69-23CF-44E3-9099-C40C66FF867C}">
                  <a14:compatExt spid="_x0000_s120843"/>
                </a:ext>
                <a:ext uri="{FF2B5EF4-FFF2-40B4-BE49-F238E27FC236}">
                  <a16:creationId xmlns:a16="http://schemas.microsoft.com/office/drawing/2014/main" id="{00000000-0008-0000-0500-00000B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20844" name="Check Box 12" hidden="1">
              <a:extLst>
                <a:ext uri="{63B3BB69-23CF-44E3-9099-C40C66FF867C}">
                  <a14:compatExt spid="_x0000_s120844"/>
                </a:ext>
                <a:ext uri="{FF2B5EF4-FFF2-40B4-BE49-F238E27FC236}">
                  <a16:creationId xmlns:a16="http://schemas.microsoft.com/office/drawing/2014/main" id="{00000000-0008-0000-0500-00000C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500-000011000000}"/>
            </a:ext>
          </a:extLst>
        </xdr:cNvPr>
        <xdr:cNvGrpSpPr>
          <a:grpSpLocks/>
        </xdr:cNvGrpSpPr>
      </xdr:nvGrpSpPr>
      <xdr:grpSpPr bwMode="auto">
        <a:xfrm>
          <a:off x="338179" y="5736010"/>
          <a:ext cx="1504488" cy="2458292"/>
          <a:chOff x="447674" y="5345937"/>
          <a:chExt cx="2647457" cy="2740711"/>
        </a:xfrm>
      </xdr:grpSpPr>
      <xdr:pic>
        <xdr:nvPicPr>
          <xdr:cNvPr id="18" name="Picture 1">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21857" name="Check Box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21858" name="Check Box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21859" name="Check Box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21860" name="Check Box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21861" name="Check Box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21862" name="Check Box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21863" name="Check Box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21864" name="Check Box 8" hidden="1">
              <a:extLst>
                <a:ext uri="{63B3BB69-23CF-44E3-9099-C40C66FF867C}">
                  <a14:compatExt spid="_x0000_s121864"/>
                </a:ext>
                <a:ext uri="{FF2B5EF4-FFF2-40B4-BE49-F238E27FC236}">
                  <a16:creationId xmlns:a16="http://schemas.microsoft.com/office/drawing/2014/main" id="{00000000-0008-0000-0600-000008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21865" name="Check Box 9" hidden="1">
              <a:extLst>
                <a:ext uri="{63B3BB69-23CF-44E3-9099-C40C66FF867C}">
                  <a14:compatExt spid="_x0000_s121865"/>
                </a:ext>
                <a:ext uri="{FF2B5EF4-FFF2-40B4-BE49-F238E27FC236}">
                  <a16:creationId xmlns:a16="http://schemas.microsoft.com/office/drawing/2014/main" id="{00000000-0008-0000-0600-000009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21866" name="Check Box 10" hidden="1">
              <a:extLst>
                <a:ext uri="{63B3BB69-23CF-44E3-9099-C40C66FF867C}">
                  <a14:compatExt spid="_x0000_s121866"/>
                </a:ext>
                <a:ext uri="{FF2B5EF4-FFF2-40B4-BE49-F238E27FC236}">
                  <a16:creationId xmlns:a16="http://schemas.microsoft.com/office/drawing/2014/main" id="{00000000-0008-0000-0600-00000A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21867" name="Check Box 11" hidden="1">
              <a:extLst>
                <a:ext uri="{63B3BB69-23CF-44E3-9099-C40C66FF867C}">
                  <a14:compatExt spid="_x0000_s121867"/>
                </a:ext>
                <a:ext uri="{FF2B5EF4-FFF2-40B4-BE49-F238E27FC236}">
                  <a16:creationId xmlns:a16="http://schemas.microsoft.com/office/drawing/2014/main" id="{00000000-0008-0000-0600-00000B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21868" name="Check Box 12" hidden="1">
              <a:extLst>
                <a:ext uri="{63B3BB69-23CF-44E3-9099-C40C66FF867C}">
                  <a14:compatExt spid="_x0000_s121868"/>
                </a:ext>
                <a:ext uri="{FF2B5EF4-FFF2-40B4-BE49-F238E27FC236}">
                  <a16:creationId xmlns:a16="http://schemas.microsoft.com/office/drawing/2014/main" id="{00000000-0008-0000-0600-00000C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600-000011000000}"/>
            </a:ext>
          </a:extLst>
        </xdr:cNvPr>
        <xdr:cNvGrpSpPr>
          <a:grpSpLocks/>
        </xdr:cNvGrpSpPr>
      </xdr:nvGrpSpPr>
      <xdr:grpSpPr bwMode="auto">
        <a:xfrm>
          <a:off x="338179" y="5736010"/>
          <a:ext cx="1504488" cy="2458292"/>
          <a:chOff x="447674" y="5345937"/>
          <a:chExt cx="2647457" cy="2740711"/>
        </a:xfrm>
      </xdr:grpSpPr>
      <xdr:pic>
        <xdr:nvPicPr>
          <xdr:cNvPr id="18" name="Picture 1">
            <a:extLst>
              <a:ext uri="{FF2B5EF4-FFF2-40B4-BE49-F238E27FC236}">
                <a16:creationId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6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22881" name="Check Box 1" hidden="1">
              <a:extLst>
                <a:ext uri="{63B3BB69-23CF-44E3-9099-C40C66FF867C}">
                  <a14:compatExt spid="_x0000_s122881"/>
                </a:ext>
                <a:ext uri="{FF2B5EF4-FFF2-40B4-BE49-F238E27FC236}">
                  <a16:creationId xmlns:a16="http://schemas.microsoft.com/office/drawing/2014/main" id="{00000000-0008-0000-0700-000001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22882" name="Check Box 2" hidden="1">
              <a:extLst>
                <a:ext uri="{63B3BB69-23CF-44E3-9099-C40C66FF867C}">
                  <a14:compatExt spid="_x0000_s122882"/>
                </a:ext>
                <a:ext uri="{FF2B5EF4-FFF2-40B4-BE49-F238E27FC236}">
                  <a16:creationId xmlns:a16="http://schemas.microsoft.com/office/drawing/2014/main" id="{00000000-0008-0000-0700-000002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22883" name="Check Box 3" hidden="1">
              <a:extLst>
                <a:ext uri="{63B3BB69-23CF-44E3-9099-C40C66FF867C}">
                  <a14:compatExt spid="_x0000_s122883"/>
                </a:ext>
                <a:ext uri="{FF2B5EF4-FFF2-40B4-BE49-F238E27FC236}">
                  <a16:creationId xmlns:a16="http://schemas.microsoft.com/office/drawing/2014/main" id="{00000000-0008-0000-0700-000003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22884" name="Check Box 4" hidden="1">
              <a:extLst>
                <a:ext uri="{63B3BB69-23CF-44E3-9099-C40C66FF867C}">
                  <a14:compatExt spid="_x0000_s122884"/>
                </a:ext>
                <a:ext uri="{FF2B5EF4-FFF2-40B4-BE49-F238E27FC236}">
                  <a16:creationId xmlns:a16="http://schemas.microsoft.com/office/drawing/2014/main" id="{00000000-0008-0000-0700-000004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22885" name="Check Box 5" hidden="1">
              <a:extLst>
                <a:ext uri="{63B3BB69-23CF-44E3-9099-C40C66FF867C}">
                  <a14:compatExt spid="_x0000_s122885"/>
                </a:ext>
                <a:ext uri="{FF2B5EF4-FFF2-40B4-BE49-F238E27FC236}">
                  <a16:creationId xmlns:a16="http://schemas.microsoft.com/office/drawing/2014/main" id="{00000000-0008-0000-0700-000005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22886" name="Check Box 6" hidden="1">
              <a:extLst>
                <a:ext uri="{63B3BB69-23CF-44E3-9099-C40C66FF867C}">
                  <a14:compatExt spid="_x0000_s122886"/>
                </a:ext>
                <a:ext uri="{FF2B5EF4-FFF2-40B4-BE49-F238E27FC236}">
                  <a16:creationId xmlns:a16="http://schemas.microsoft.com/office/drawing/2014/main" id="{00000000-0008-0000-0700-000006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22887" name="Check Box 7" hidden="1">
              <a:extLst>
                <a:ext uri="{63B3BB69-23CF-44E3-9099-C40C66FF867C}">
                  <a14:compatExt spid="_x0000_s122887"/>
                </a:ext>
                <a:ext uri="{FF2B5EF4-FFF2-40B4-BE49-F238E27FC236}">
                  <a16:creationId xmlns:a16="http://schemas.microsoft.com/office/drawing/2014/main" id="{00000000-0008-0000-0700-000007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22888" name="Check Box 8" hidden="1">
              <a:extLst>
                <a:ext uri="{63B3BB69-23CF-44E3-9099-C40C66FF867C}">
                  <a14:compatExt spid="_x0000_s122888"/>
                </a:ext>
                <a:ext uri="{FF2B5EF4-FFF2-40B4-BE49-F238E27FC236}">
                  <a16:creationId xmlns:a16="http://schemas.microsoft.com/office/drawing/2014/main" id="{00000000-0008-0000-0700-000008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22889" name="Check Box 9" hidden="1">
              <a:extLst>
                <a:ext uri="{63B3BB69-23CF-44E3-9099-C40C66FF867C}">
                  <a14:compatExt spid="_x0000_s122889"/>
                </a:ext>
                <a:ext uri="{FF2B5EF4-FFF2-40B4-BE49-F238E27FC236}">
                  <a16:creationId xmlns:a16="http://schemas.microsoft.com/office/drawing/2014/main" id="{00000000-0008-0000-0700-000009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22890" name="Check Box 10" hidden="1">
              <a:extLst>
                <a:ext uri="{63B3BB69-23CF-44E3-9099-C40C66FF867C}">
                  <a14:compatExt spid="_x0000_s122890"/>
                </a:ext>
                <a:ext uri="{FF2B5EF4-FFF2-40B4-BE49-F238E27FC236}">
                  <a16:creationId xmlns:a16="http://schemas.microsoft.com/office/drawing/2014/main" id="{00000000-0008-0000-0700-00000A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22891" name="Check Box 11" hidden="1">
              <a:extLst>
                <a:ext uri="{63B3BB69-23CF-44E3-9099-C40C66FF867C}">
                  <a14:compatExt spid="_x0000_s122891"/>
                </a:ext>
                <a:ext uri="{FF2B5EF4-FFF2-40B4-BE49-F238E27FC236}">
                  <a16:creationId xmlns:a16="http://schemas.microsoft.com/office/drawing/2014/main" id="{00000000-0008-0000-0700-00000B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22892" name="Check Box 12" hidden="1">
              <a:extLst>
                <a:ext uri="{63B3BB69-23CF-44E3-9099-C40C66FF867C}">
                  <a14:compatExt spid="_x0000_s122892"/>
                </a:ext>
                <a:ext uri="{FF2B5EF4-FFF2-40B4-BE49-F238E27FC236}">
                  <a16:creationId xmlns:a16="http://schemas.microsoft.com/office/drawing/2014/main" id="{00000000-0008-0000-0700-00000C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700-000011000000}"/>
            </a:ext>
          </a:extLst>
        </xdr:cNvPr>
        <xdr:cNvGrpSpPr>
          <a:grpSpLocks/>
        </xdr:cNvGrpSpPr>
      </xdr:nvGrpSpPr>
      <xdr:grpSpPr bwMode="auto">
        <a:xfrm>
          <a:off x="338179" y="5736010"/>
          <a:ext cx="1504488" cy="2458292"/>
          <a:chOff x="447674" y="5345937"/>
          <a:chExt cx="2647457" cy="2740711"/>
        </a:xfrm>
      </xdr:grpSpPr>
      <xdr:pic>
        <xdr:nvPicPr>
          <xdr:cNvPr id="18" name="Picture 1">
            <a:extLst>
              <a:ext uri="{FF2B5EF4-FFF2-40B4-BE49-F238E27FC236}">
                <a16:creationId xmlns:a16="http://schemas.microsoft.com/office/drawing/2014/main" id="{00000000-0008-0000-07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7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23905" name="Check Box 1" hidden="1">
              <a:extLst>
                <a:ext uri="{63B3BB69-23CF-44E3-9099-C40C66FF867C}">
                  <a14:compatExt spid="_x0000_s123905"/>
                </a:ext>
                <a:ext uri="{FF2B5EF4-FFF2-40B4-BE49-F238E27FC236}">
                  <a16:creationId xmlns:a16="http://schemas.microsoft.com/office/drawing/2014/main" id="{00000000-0008-0000-0800-000001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23906" name="Check Box 2" hidden="1">
              <a:extLst>
                <a:ext uri="{63B3BB69-23CF-44E3-9099-C40C66FF867C}">
                  <a14:compatExt spid="_x0000_s123906"/>
                </a:ext>
                <a:ext uri="{FF2B5EF4-FFF2-40B4-BE49-F238E27FC236}">
                  <a16:creationId xmlns:a16="http://schemas.microsoft.com/office/drawing/2014/main" id="{00000000-0008-0000-0800-000002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23907" name="Check Box 3" hidden="1">
              <a:extLst>
                <a:ext uri="{63B3BB69-23CF-44E3-9099-C40C66FF867C}">
                  <a14:compatExt spid="_x0000_s123907"/>
                </a:ext>
                <a:ext uri="{FF2B5EF4-FFF2-40B4-BE49-F238E27FC236}">
                  <a16:creationId xmlns:a16="http://schemas.microsoft.com/office/drawing/2014/main" id="{00000000-0008-0000-0800-000003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23908" name="Check Box 4" hidden="1">
              <a:extLst>
                <a:ext uri="{63B3BB69-23CF-44E3-9099-C40C66FF867C}">
                  <a14:compatExt spid="_x0000_s123908"/>
                </a:ext>
                <a:ext uri="{FF2B5EF4-FFF2-40B4-BE49-F238E27FC236}">
                  <a16:creationId xmlns:a16="http://schemas.microsoft.com/office/drawing/2014/main" id="{00000000-0008-0000-0800-000004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23909" name="Check Box 5" hidden="1">
              <a:extLst>
                <a:ext uri="{63B3BB69-23CF-44E3-9099-C40C66FF867C}">
                  <a14:compatExt spid="_x0000_s123909"/>
                </a:ext>
                <a:ext uri="{FF2B5EF4-FFF2-40B4-BE49-F238E27FC236}">
                  <a16:creationId xmlns:a16="http://schemas.microsoft.com/office/drawing/2014/main" id="{00000000-0008-0000-0800-000005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23910" name="Check Box 6" hidden="1">
              <a:extLst>
                <a:ext uri="{63B3BB69-23CF-44E3-9099-C40C66FF867C}">
                  <a14:compatExt spid="_x0000_s123910"/>
                </a:ext>
                <a:ext uri="{FF2B5EF4-FFF2-40B4-BE49-F238E27FC236}">
                  <a16:creationId xmlns:a16="http://schemas.microsoft.com/office/drawing/2014/main" id="{00000000-0008-0000-0800-000006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23911" name="Check Box 7" hidden="1">
              <a:extLst>
                <a:ext uri="{63B3BB69-23CF-44E3-9099-C40C66FF867C}">
                  <a14:compatExt spid="_x0000_s123911"/>
                </a:ext>
                <a:ext uri="{FF2B5EF4-FFF2-40B4-BE49-F238E27FC236}">
                  <a16:creationId xmlns:a16="http://schemas.microsoft.com/office/drawing/2014/main" id="{00000000-0008-0000-0800-000007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23912" name="Check Box 8" hidden="1">
              <a:extLst>
                <a:ext uri="{63B3BB69-23CF-44E3-9099-C40C66FF867C}">
                  <a14:compatExt spid="_x0000_s123912"/>
                </a:ext>
                <a:ext uri="{FF2B5EF4-FFF2-40B4-BE49-F238E27FC236}">
                  <a16:creationId xmlns:a16="http://schemas.microsoft.com/office/drawing/2014/main" id="{00000000-0008-0000-0800-000008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23913" name="Check Box 9" hidden="1">
              <a:extLst>
                <a:ext uri="{63B3BB69-23CF-44E3-9099-C40C66FF867C}">
                  <a14:compatExt spid="_x0000_s123913"/>
                </a:ext>
                <a:ext uri="{FF2B5EF4-FFF2-40B4-BE49-F238E27FC236}">
                  <a16:creationId xmlns:a16="http://schemas.microsoft.com/office/drawing/2014/main" id="{00000000-0008-0000-0800-000009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23914" name="Check Box 10" hidden="1">
              <a:extLst>
                <a:ext uri="{63B3BB69-23CF-44E3-9099-C40C66FF867C}">
                  <a14:compatExt spid="_x0000_s123914"/>
                </a:ext>
                <a:ext uri="{FF2B5EF4-FFF2-40B4-BE49-F238E27FC236}">
                  <a16:creationId xmlns:a16="http://schemas.microsoft.com/office/drawing/2014/main" id="{00000000-0008-0000-0800-00000A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23915" name="Check Box 11" hidden="1">
              <a:extLst>
                <a:ext uri="{63B3BB69-23CF-44E3-9099-C40C66FF867C}">
                  <a14:compatExt spid="_x0000_s123915"/>
                </a:ext>
                <a:ext uri="{FF2B5EF4-FFF2-40B4-BE49-F238E27FC236}">
                  <a16:creationId xmlns:a16="http://schemas.microsoft.com/office/drawing/2014/main" id="{00000000-0008-0000-0800-00000B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23916" name="Check Box 12" hidden="1">
              <a:extLst>
                <a:ext uri="{63B3BB69-23CF-44E3-9099-C40C66FF867C}">
                  <a14:compatExt spid="_x0000_s123916"/>
                </a:ext>
                <a:ext uri="{FF2B5EF4-FFF2-40B4-BE49-F238E27FC236}">
                  <a16:creationId xmlns:a16="http://schemas.microsoft.com/office/drawing/2014/main" id="{00000000-0008-0000-0800-00000C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800-000011000000}"/>
            </a:ext>
          </a:extLst>
        </xdr:cNvPr>
        <xdr:cNvGrpSpPr>
          <a:grpSpLocks/>
        </xdr:cNvGrpSpPr>
      </xdr:nvGrpSpPr>
      <xdr:grpSpPr bwMode="auto">
        <a:xfrm>
          <a:off x="338179" y="5736010"/>
          <a:ext cx="1504488" cy="2458292"/>
          <a:chOff x="447674" y="5345937"/>
          <a:chExt cx="2647457" cy="2740711"/>
        </a:xfrm>
      </xdr:grpSpPr>
      <xdr:pic>
        <xdr:nvPicPr>
          <xdr:cNvPr id="18" name="Picture 1">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251\data\Users\USER\Desktop\&#12295;&#20316;&#26989;&#20013;&#12295;\ver2.0_mokuzou_kodate_hyoujunnyuryokug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NALAB2016SVR\data\Users\015\Desktop\2021.09.24_&#65308;&#31561;&#32026;5&#23550;&#24540;&#65310;&#12304;&#27161;&#28310;&#20837;&#21147;&#22411;&#12305;ver2.2_mokuzou_kodate_hyoujunnyuryokuga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61.0.1\&#25216;&#34899;&#37096;\501&#12304;&#12381;&#12398;&#20182;&#12305;&#20491;&#20154;\&#27178;&#23665;&#22317;\2021.08.16_&#20844;&#38283;&#29256;&#65288;&#12395;&#38306;&#12377;&#12427;&#20462;&#27491;&#65286;&#22825;&#31379;&#12399;&#12316;&#12395;&#38306;&#12377;&#12427;&#19981;&#20855;&#21512;&#12398;&#20462;&#27491;&#12288;&#29256;&#65289;\02_&#12304;&#27161;&#28310;&#20837;&#21147;&#22411;&#12305;ver2.1_mokuzou_kodate_hyoujunnyuryokugata_2103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NALAB2016SVR\data\Users\015\Desktop\2021.09.06_&#22522;&#30990;&#21839;&#38988;\&#22522;&#30990;&#21839;&#389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共通条件・結果"/>
      <sheetName val="Ａ（東）"/>
      <sheetName val="Ａ（北）"/>
      <sheetName val="Ａ（北東）"/>
      <sheetName val="Ａ（南東）"/>
      <sheetName val="Ａ（南）"/>
      <sheetName val="Ａ（南西）"/>
      <sheetName val="Ａ（西）"/>
      <sheetName val="Ａ（北西）"/>
      <sheetName val="Ｂ（屋根・床等）"/>
      <sheetName val="Ｃ（基礎）"/>
      <sheetName val="更新履歴"/>
    </sheetNames>
    <sheetDataSet>
      <sheetData sheetId="0"/>
      <sheetData sheetId="1">
        <row r="7">
          <cell r="AA7" t="str">
            <v>６地域</v>
          </cell>
        </row>
      </sheetData>
      <sheetData sheetId="2"/>
      <sheetData sheetId="3"/>
      <sheetData sheetId="4"/>
      <sheetData sheetId="5"/>
      <sheetData sheetId="6"/>
      <sheetData sheetId="7"/>
      <sheetData sheetId="8"/>
      <sheetData sheetId="9"/>
      <sheetData sheetId="10"/>
      <sheetData sheetId="11">
        <row r="29">
          <cell r="AE29" t="str">
            <v>南</v>
          </cell>
          <cell r="AM29" t="str">
            <v>南</v>
          </cell>
          <cell r="AN29">
            <v>0.434</v>
          </cell>
          <cell r="AO29" t="str">
            <v>南</v>
          </cell>
          <cell r="AP29">
            <v>0.93600000000000005</v>
          </cell>
        </row>
        <row r="30">
          <cell r="AE30" t="str">
            <v>東</v>
          </cell>
          <cell r="AM30" t="str">
            <v>東</v>
          </cell>
          <cell r="AN30">
            <v>0.51200000000000001</v>
          </cell>
          <cell r="AO30" t="str">
            <v>東</v>
          </cell>
          <cell r="AP30">
            <v>0.57899999999999996</v>
          </cell>
        </row>
        <row r="31">
          <cell r="AE31" t="str">
            <v>北</v>
          </cell>
          <cell r="AM31" t="str">
            <v>北</v>
          </cell>
          <cell r="AN31">
            <v>0.34100000000000003</v>
          </cell>
          <cell r="AO31" t="str">
            <v>北</v>
          </cell>
          <cell r="AP31">
            <v>0.26100000000000001</v>
          </cell>
        </row>
        <row r="32">
          <cell r="AE32" t="str">
            <v>西</v>
          </cell>
          <cell r="AM32" t="str">
            <v>西</v>
          </cell>
          <cell r="AN32">
            <v>0.504</v>
          </cell>
          <cell r="AO32" t="str">
            <v>西</v>
          </cell>
          <cell r="AP32">
            <v>0.52300000000000002</v>
          </cell>
        </row>
        <row r="33">
          <cell r="AE33" t="str">
            <v>南東</v>
          </cell>
          <cell r="AM33" t="str">
            <v>南東</v>
          </cell>
          <cell r="AN33">
            <v>0.498</v>
          </cell>
          <cell r="AO33" t="str">
            <v>南東</v>
          </cell>
          <cell r="AP33">
            <v>0.83299999999999996</v>
          </cell>
        </row>
        <row r="34">
          <cell r="AE34" t="str">
            <v>北東</v>
          </cell>
          <cell r="AM34" t="str">
            <v>北東</v>
          </cell>
          <cell r="AN34">
            <v>0.43099999999999999</v>
          </cell>
          <cell r="AO34" t="str">
            <v>北東</v>
          </cell>
          <cell r="AP34">
            <v>0.32500000000000001</v>
          </cell>
        </row>
        <row r="35">
          <cell r="AE35" t="str">
            <v>北西</v>
          </cell>
          <cell r="AM35" t="str">
            <v>北西</v>
          </cell>
          <cell r="AN35">
            <v>0.42699999999999999</v>
          </cell>
          <cell r="AO35" t="str">
            <v>北西</v>
          </cell>
          <cell r="AP35">
            <v>0.317</v>
          </cell>
        </row>
        <row r="36">
          <cell r="AE36" t="str">
            <v>南西</v>
          </cell>
          <cell r="AM36" t="str">
            <v>南西</v>
          </cell>
          <cell r="AN36">
            <v>0.49099999999999999</v>
          </cell>
          <cell r="AO36" t="str">
            <v>南西</v>
          </cell>
          <cell r="AP36">
            <v>0.76300000000000001</v>
          </cell>
        </row>
      </sheetData>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共通条件・結果"/>
      <sheetName val="Ａ（北）"/>
      <sheetName val="Ａ（北東）"/>
      <sheetName val="Ａ（東）"/>
      <sheetName val="Ａ（南東）"/>
      <sheetName val="Ａ（南）"/>
      <sheetName val="Ａ（南西）"/>
      <sheetName val="Ａ（西）"/>
      <sheetName val="Ａ（北西）"/>
      <sheetName val="Ｂ（屋根・床等）"/>
      <sheetName val="Ｃ（基礎）"/>
      <sheetName val="更新履歴"/>
    </sheetNames>
    <sheetDataSet>
      <sheetData sheetId="0"/>
      <sheetData sheetId="1"/>
      <sheetData sheetId="2">
        <row r="43">
          <cell r="L43">
            <v>0</v>
          </cell>
        </row>
      </sheetData>
      <sheetData sheetId="3">
        <row r="43">
          <cell r="L43">
            <v>0</v>
          </cell>
        </row>
      </sheetData>
      <sheetData sheetId="4">
        <row r="43">
          <cell r="L43">
            <v>0</v>
          </cell>
        </row>
      </sheetData>
      <sheetData sheetId="5">
        <row r="43">
          <cell r="L43">
            <v>0</v>
          </cell>
        </row>
      </sheetData>
      <sheetData sheetId="6">
        <row r="43">
          <cell r="L43">
            <v>0</v>
          </cell>
        </row>
      </sheetData>
      <sheetData sheetId="7">
        <row r="43">
          <cell r="L43">
            <v>0</v>
          </cell>
        </row>
      </sheetData>
      <sheetData sheetId="8">
        <row r="43">
          <cell r="L43">
            <v>0</v>
          </cell>
        </row>
      </sheetData>
      <sheetData sheetId="9">
        <row r="43">
          <cell r="L43">
            <v>0</v>
          </cell>
        </row>
      </sheetData>
      <sheetData sheetId="10">
        <row r="32">
          <cell r="P32">
            <v>0</v>
          </cell>
        </row>
      </sheetData>
      <sheetData sheetId="11">
        <row r="15">
          <cell r="H15">
            <v>0</v>
          </cell>
        </row>
        <row r="35">
          <cell r="AE35" t="str">
            <v>南</v>
          </cell>
          <cell r="AM35" t="str">
            <v>南</v>
          </cell>
          <cell r="AN35" t="e">
            <v>#REF!</v>
          </cell>
          <cell r="AO35" t="str">
            <v>南</v>
          </cell>
          <cell r="AP35" t="e">
            <v>#REF!</v>
          </cell>
        </row>
        <row r="36">
          <cell r="AE36" t="str">
            <v>東</v>
          </cell>
          <cell r="AM36" t="str">
            <v>東</v>
          </cell>
          <cell r="AN36" t="e">
            <v>#REF!</v>
          </cell>
          <cell r="AO36" t="str">
            <v>東</v>
          </cell>
          <cell r="AP36" t="e">
            <v>#REF!</v>
          </cell>
        </row>
        <row r="37">
          <cell r="AE37" t="str">
            <v>北</v>
          </cell>
          <cell r="AM37" t="str">
            <v>北</v>
          </cell>
          <cell r="AN37" t="e">
            <v>#REF!</v>
          </cell>
          <cell r="AO37" t="str">
            <v>北</v>
          </cell>
          <cell r="AP37" t="e">
            <v>#REF!</v>
          </cell>
        </row>
        <row r="38">
          <cell r="AE38" t="str">
            <v>西</v>
          </cell>
          <cell r="AM38" t="str">
            <v>西</v>
          </cell>
          <cell r="AN38" t="e">
            <v>#REF!</v>
          </cell>
          <cell r="AO38" t="str">
            <v>西</v>
          </cell>
          <cell r="AP38" t="e">
            <v>#REF!</v>
          </cell>
        </row>
        <row r="39">
          <cell r="AE39" t="str">
            <v>南東</v>
          </cell>
          <cell r="AM39" t="str">
            <v>南東</v>
          </cell>
          <cell r="AN39" t="e">
            <v>#REF!</v>
          </cell>
          <cell r="AO39" t="str">
            <v>南東</v>
          </cell>
          <cell r="AP39" t="e">
            <v>#REF!</v>
          </cell>
        </row>
        <row r="40">
          <cell r="AE40" t="str">
            <v>北東</v>
          </cell>
          <cell r="AM40" t="str">
            <v>北東</v>
          </cell>
          <cell r="AN40" t="e">
            <v>#REF!</v>
          </cell>
          <cell r="AO40" t="str">
            <v>北東</v>
          </cell>
          <cell r="AP40" t="e">
            <v>#REF!</v>
          </cell>
        </row>
        <row r="41">
          <cell r="AE41" t="str">
            <v>北西</v>
          </cell>
          <cell r="AM41" t="str">
            <v>北西</v>
          </cell>
          <cell r="AN41" t="e">
            <v>#REF!</v>
          </cell>
          <cell r="AO41" t="str">
            <v>北西</v>
          </cell>
          <cell r="AP41" t="e">
            <v>#REF!</v>
          </cell>
        </row>
        <row r="42">
          <cell r="AE42" t="str">
            <v>南西</v>
          </cell>
          <cell r="AM42" t="str">
            <v>南西</v>
          </cell>
          <cell r="AN42" t="e">
            <v>#REF!</v>
          </cell>
          <cell r="AO42" t="str">
            <v>南西</v>
          </cell>
          <cell r="AP42" t="e">
            <v>#REF!</v>
          </cell>
        </row>
      </sheetData>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共通条件・結果"/>
      <sheetName val="Ａ（北）"/>
      <sheetName val="Ａ（北東）"/>
      <sheetName val="Ａ（東）"/>
      <sheetName val="Ａ（南東）"/>
      <sheetName val="Ａ（南）"/>
      <sheetName val="Ａ（南西）"/>
      <sheetName val="Ａ（西）"/>
      <sheetName val="Ａ（北西）"/>
      <sheetName val="Ｂ（屋根・床等）"/>
      <sheetName val="Ｃ（基礎）"/>
      <sheetName val="更新履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9">
          <cell r="AE29" t="str">
            <v>南</v>
          </cell>
          <cell r="AM29" t="str">
            <v>南</v>
          </cell>
          <cell r="AN29" t="b">
            <v>0</v>
          </cell>
          <cell r="AO29" t="str">
            <v>南</v>
          </cell>
          <cell r="AP29" t="b">
            <v>0</v>
          </cell>
        </row>
        <row r="30">
          <cell r="AE30" t="str">
            <v>東</v>
          </cell>
          <cell r="AM30" t="str">
            <v>東</v>
          </cell>
          <cell r="AN30" t="b">
            <v>0</v>
          </cell>
          <cell r="AO30" t="str">
            <v>東</v>
          </cell>
          <cell r="AP30" t="b">
            <v>0</v>
          </cell>
        </row>
        <row r="31">
          <cell r="AE31" t="str">
            <v>北</v>
          </cell>
          <cell r="AM31" t="str">
            <v>北</v>
          </cell>
          <cell r="AN31" t="b">
            <v>0</v>
          </cell>
          <cell r="AO31" t="str">
            <v>北</v>
          </cell>
          <cell r="AP31" t="b">
            <v>0</v>
          </cell>
        </row>
        <row r="32">
          <cell r="AE32" t="str">
            <v>西</v>
          </cell>
          <cell r="AM32" t="str">
            <v>西</v>
          </cell>
          <cell r="AN32" t="b">
            <v>0</v>
          </cell>
          <cell r="AO32" t="str">
            <v>西</v>
          </cell>
          <cell r="AP32" t="b">
            <v>0</v>
          </cell>
        </row>
        <row r="33">
          <cell r="AE33" t="str">
            <v>南東</v>
          </cell>
          <cell r="AM33" t="str">
            <v>南東</v>
          </cell>
          <cell r="AN33" t="b">
            <v>0</v>
          </cell>
          <cell r="AO33" t="str">
            <v>南東</v>
          </cell>
          <cell r="AP33" t="b">
            <v>0</v>
          </cell>
        </row>
        <row r="34">
          <cell r="AE34" t="str">
            <v>北東</v>
          </cell>
          <cell r="AM34" t="str">
            <v>北東</v>
          </cell>
          <cell r="AN34" t="b">
            <v>0</v>
          </cell>
          <cell r="AO34" t="str">
            <v>北東</v>
          </cell>
          <cell r="AP34" t="b">
            <v>0</v>
          </cell>
        </row>
        <row r="35">
          <cell r="AE35" t="str">
            <v>北西</v>
          </cell>
          <cell r="AM35" t="str">
            <v>北西</v>
          </cell>
          <cell r="AN35" t="b">
            <v>0</v>
          </cell>
          <cell r="AO35" t="str">
            <v>北西</v>
          </cell>
          <cell r="AP35" t="b">
            <v>0</v>
          </cell>
        </row>
        <row r="36">
          <cell r="AE36" t="str">
            <v>南西</v>
          </cell>
          <cell r="AM36" t="str">
            <v>南西</v>
          </cell>
          <cell r="AN36" t="b">
            <v>0</v>
          </cell>
          <cell r="AO36" t="str">
            <v>南西</v>
          </cell>
          <cell r="AP36" t="b">
            <v>0</v>
          </cell>
        </row>
      </sheetData>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旧"/>
      <sheetName val="新"/>
      <sheetName val="提案1"/>
      <sheetName val="案1"/>
      <sheetName val="案2"/>
      <sheetName val="案3"/>
      <sheetName val="【参考】計算式の変遷"/>
    </sheetNames>
    <sheetDataSet>
      <sheetData sheetId="0" refreshError="1"/>
      <sheetData sheetId="1">
        <row r="35">
          <cell r="AE35" t="str">
            <v>南</v>
          </cell>
        </row>
        <row r="36">
          <cell r="AE36" t="str">
            <v>東</v>
          </cell>
        </row>
        <row r="37">
          <cell r="AE37" t="str">
            <v>北</v>
          </cell>
        </row>
        <row r="38">
          <cell r="AE38" t="str">
            <v>西</v>
          </cell>
        </row>
        <row r="39">
          <cell r="AE39" t="str">
            <v>南東</v>
          </cell>
        </row>
        <row r="40">
          <cell r="AE40" t="str">
            <v>北東</v>
          </cell>
        </row>
        <row r="41">
          <cell r="AE41" t="str">
            <v>北西</v>
          </cell>
        </row>
        <row r="42">
          <cell r="AE42" t="str">
            <v>南西</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18" Type="http://schemas.openxmlformats.org/officeDocument/2006/relationships/ctrlProp" Target="../ctrlProps/ctrlProp121.xml"/><Relationship Id="rId26" Type="http://schemas.openxmlformats.org/officeDocument/2006/relationships/ctrlProp" Target="../ctrlProps/ctrlProp129.xml"/><Relationship Id="rId3" Type="http://schemas.openxmlformats.org/officeDocument/2006/relationships/vmlDrawing" Target="../drawings/vmlDrawing10.vml"/><Relationship Id="rId21" Type="http://schemas.openxmlformats.org/officeDocument/2006/relationships/ctrlProp" Target="../ctrlProps/ctrlProp124.xml"/><Relationship Id="rId7" Type="http://schemas.openxmlformats.org/officeDocument/2006/relationships/ctrlProp" Target="../ctrlProps/ctrlProp110.xml"/><Relationship Id="rId12" Type="http://schemas.openxmlformats.org/officeDocument/2006/relationships/ctrlProp" Target="../ctrlProps/ctrlProp115.xml"/><Relationship Id="rId17" Type="http://schemas.openxmlformats.org/officeDocument/2006/relationships/ctrlProp" Target="../ctrlProps/ctrlProp120.xml"/><Relationship Id="rId25" Type="http://schemas.openxmlformats.org/officeDocument/2006/relationships/ctrlProp" Target="../ctrlProps/ctrlProp128.xml"/><Relationship Id="rId2" Type="http://schemas.openxmlformats.org/officeDocument/2006/relationships/drawing" Target="../drawings/drawing11.xml"/><Relationship Id="rId16" Type="http://schemas.openxmlformats.org/officeDocument/2006/relationships/ctrlProp" Target="../ctrlProps/ctrlProp119.xml"/><Relationship Id="rId20" Type="http://schemas.openxmlformats.org/officeDocument/2006/relationships/ctrlProp" Target="../ctrlProps/ctrlProp123.xml"/><Relationship Id="rId29" Type="http://schemas.openxmlformats.org/officeDocument/2006/relationships/comments" Target="../comments9.xml"/><Relationship Id="rId1" Type="http://schemas.openxmlformats.org/officeDocument/2006/relationships/printerSettings" Target="../printerSettings/printerSettings11.bin"/><Relationship Id="rId6" Type="http://schemas.openxmlformats.org/officeDocument/2006/relationships/ctrlProp" Target="../ctrlProps/ctrlProp109.xml"/><Relationship Id="rId11" Type="http://schemas.openxmlformats.org/officeDocument/2006/relationships/ctrlProp" Target="../ctrlProps/ctrlProp114.xml"/><Relationship Id="rId24" Type="http://schemas.openxmlformats.org/officeDocument/2006/relationships/ctrlProp" Target="../ctrlProps/ctrlProp127.xml"/><Relationship Id="rId5" Type="http://schemas.openxmlformats.org/officeDocument/2006/relationships/ctrlProp" Target="../ctrlProps/ctrlProp108.xml"/><Relationship Id="rId15" Type="http://schemas.openxmlformats.org/officeDocument/2006/relationships/ctrlProp" Target="../ctrlProps/ctrlProp118.xml"/><Relationship Id="rId23" Type="http://schemas.openxmlformats.org/officeDocument/2006/relationships/ctrlProp" Target="../ctrlProps/ctrlProp126.xml"/><Relationship Id="rId28" Type="http://schemas.openxmlformats.org/officeDocument/2006/relationships/ctrlProp" Target="../ctrlProps/ctrlProp131.xml"/><Relationship Id="rId10" Type="http://schemas.openxmlformats.org/officeDocument/2006/relationships/ctrlProp" Target="../ctrlProps/ctrlProp113.xml"/><Relationship Id="rId19" Type="http://schemas.openxmlformats.org/officeDocument/2006/relationships/ctrlProp" Target="../ctrlProps/ctrlProp122.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 Id="rId22" Type="http://schemas.openxmlformats.org/officeDocument/2006/relationships/ctrlProp" Target="../ctrlProps/ctrlProp125.xml"/><Relationship Id="rId27" Type="http://schemas.openxmlformats.org/officeDocument/2006/relationships/ctrlProp" Target="../ctrlProps/ctrlProp13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3.xml"/><Relationship Id="rId16"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3" Type="http://schemas.openxmlformats.org/officeDocument/2006/relationships/vmlDrawing" Target="../drawings/vmlDrawing4.vml"/><Relationship Id="rId7" Type="http://schemas.openxmlformats.org/officeDocument/2006/relationships/ctrlProp" Target="../ctrlProps/ctrlProp38.xml"/><Relationship Id="rId12" Type="http://schemas.openxmlformats.org/officeDocument/2006/relationships/ctrlProp" Target="../ctrlProps/ctrlProp43.xml"/><Relationship Id="rId2" Type="http://schemas.openxmlformats.org/officeDocument/2006/relationships/drawing" Target="../drawings/drawing4.xml"/><Relationship Id="rId16" Type="http://schemas.openxmlformats.org/officeDocument/2006/relationships/comments" Target="../comments3.xml"/><Relationship Id="rId1" Type="http://schemas.openxmlformats.org/officeDocument/2006/relationships/printerSettings" Target="../printerSettings/printerSettings4.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5" Type="http://schemas.openxmlformats.org/officeDocument/2006/relationships/ctrlProp" Target="../ctrlProps/ctrlProp4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3" Type="http://schemas.openxmlformats.org/officeDocument/2006/relationships/vmlDrawing" Target="../drawings/vmlDrawing5.vml"/><Relationship Id="rId7" Type="http://schemas.openxmlformats.org/officeDocument/2006/relationships/ctrlProp" Target="../ctrlProps/ctrlProp50.xml"/><Relationship Id="rId12" Type="http://schemas.openxmlformats.org/officeDocument/2006/relationships/ctrlProp" Target="../ctrlProps/ctrlProp55.xml"/><Relationship Id="rId2" Type="http://schemas.openxmlformats.org/officeDocument/2006/relationships/drawing" Target="../drawings/drawing5.xml"/><Relationship Id="rId16" Type="http://schemas.openxmlformats.org/officeDocument/2006/relationships/comments" Target="../comments4.xml"/><Relationship Id="rId1" Type="http://schemas.openxmlformats.org/officeDocument/2006/relationships/printerSettings" Target="../printerSettings/printerSettings5.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5" Type="http://schemas.openxmlformats.org/officeDocument/2006/relationships/ctrlProp" Target="../ctrlProps/ctrlProp58.xml"/><Relationship Id="rId10" Type="http://schemas.openxmlformats.org/officeDocument/2006/relationships/ctrlProp" Target="../ctrlProps/ctrlProp53.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3.xml"/><Relationship Id="rId13" Type="http://schemas.openxmlformats.org/officeDocument/2006/relationships/ctrlProp" Target="../ctrlProps/ctrlProp68.xml"/><Relationship Id="rId3" Type="http://schemas.openxmlformats.org/officeDocument/2006/relationships/vmlDrawing" Target="../drawings/vmlDrawing6.vml"/><Relationship Id="rId7" Type="http://schemas.openxmlformats.org/officeDocument/2006/relationships/ctrlProp" Target="../ctrlProps/ctrlProp62.xml"/><Relationship Id="rId12" Type="http://schemas.openxmlformats.org/officeDocument/2006/relationships/ctrlProp" Target="../ctrlProps/ctrlProp67.xml"/><Relationship Id="rId2" Type="http://schemas.openxmlformats.org/officeDocument/2006/relationships/drawing" Target="../drawings/drawing6.xml"/><Relationship Id="rId16" Type="http://schemas.openxmlformats.org/officeDocument/2006/relationships/comments" Target="../comments5.xml"/><Relationship Id="rId1" Type="http://schemas.openxmlformats.org/officeDocument/2006/relationships/printerSettings" Target="../printerSettings/printerSettings6.bin"/><Relationship Id="rId6" Type="http://schemas.openxmlformats.org/officeDocument/2006/relationships/ctrlProp" Target="../ctrlProps/ctrlProp61.xml"/><Relationship Id="rId11" Type="http://schemas.openxmlformats.org/officeDocument/2006/relationships/ctrlProp" Target="../ctrlProps/ctrlProp66.xml"/><Relationship Id="rId5" Type="http://schemas.openxmlformats.org/officeDocument/2006/relationships/ctrlProp" Target="../ctrlProps/ctrlProp60.xml"/><Relationship Id="rId15" Type="http://schemas.openxmlformats.org/officeDocument/2006/relationships/ctrlProp" Target="../ctrlProps/ctrlProp70.xml"/><Relationship Id="rId10" Type="http://schemas.openxmlformats.org/officeDocument/2006/relationships/ctrlProp" Target="../ctrlProps/ctrlProp65.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3" Type="http://schemas.openxmlformats.org/officeDocument/2006/relationships/vmlDrawing" Target="../drawings/vmlDrawing7.vml"/><Relationship Id="rId7" Type="http://schemas.openxmlformats.org/officeDocument/2006/relationships/ctrlProp" Target="../ctrlProps/ctrlProp74.xml"/><Relationship Id="rId12" Type="http://schemas.openxmlformats.org/officeDocument/2006/relationships/ctrlProp" Target="../ctrlProps/ctrlProp79.xml"/><Relationship Id="rId2" Type="http://schemas.openxmlformats.org/officeDocument/2006/relationships/drawing" Target="../drawings/drawing7.xml"/><Relationship Id="rId16" Type="http://schemas.openxmlformats.org/officeDocument/2006/relationships/comments" Target="../comments6.xml"/><Relationship Id="rId1" Type="http://schemas.openxmlformats.org/officeDocument/2006/relationships/printerSettings" Target="../printerSettings/printerSettings7.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5" Type="http://schemas.openxmlformats.org/officeDocument/2006/relationships/ctrlProp" Target="../ctrlProps/ctrlProp82.xml"/><Relationship Id="rId10" Type="http://schemas.openxmlformats.org/officeDocument/2006/relationships/ctrlProp" Target="../ctrlProps/ctrlProp77.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3" Type="http://schemas.openxmlformats.org/officeDocument/2006/relationships/vmlDrawing" Target="../drawings/vmlDrawing8.vml"/><Relationship Id="rId7" Type="http://schemas.openxmlformats.org/officeDocument/2006/relationships/ctrlProp" Target="../ctrlProps/ctrlProp86.xml"/><Relationship Id="rId12" Type="http://schemas.openxmlformats.org/officeDocument/2006/relationships/ctrlProp" Target="../ctrlProps/ctrlProp91.xml"/><Relationship Id="rId2" Type="http://schemas.openxmlformats.org/officeDocument/2006/relationships/drawing" Target="../drawings/drawing8.xml"/><Relationship Id="rId16" Type="http://schemas.openxmlformats.org/officeDocument/2006/relationships/comments" Target="../comments7.xml"/><Relationship Id="rId1" Type="http://schemas.openxmlformats.org/officeDocument/2006/relationships/printerSettings" Target="../printerSettings/printerSettings8.bin"/><Relationship Id="rId6" Type="http://schemas.openxmlformats.org/officeDocument/2006/relationships/ctrlProp" Target="../ctrlProps/ctrlProp85.xml"/><Relationship Id="rId11" Type="http://schemas.openxmlformats.org/officeDocument/2006/relationships/ctrlProp" Target="../ctrlProps/ctrlProp90.xml"/><Relationship Id="rId5" Type="http://schemas.openxmlformats.org/officeDocument/2006/relationships/ctrlProp" Target="../ctrlProps/ctrlProp84.xml"/><Relationship Id="rId15" Type="http://schemas.openxmlformats.org/officeDocument/2006/relationships/ctrlProp" Target="../ctrlProps/ctrlProp94.xml"/><Relationship Id="rId10" Type="http://schemas.openxmlformats.org/officeDocument/2006/relationships/ctrlProp" Target="../ctrlProps/ctrlProp89.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3" Type="http://schemas.openxmlformats.org/officeDocument/2006/relationships/vmlDrawing" Target="../drawings/vmlDrawing9.vml"/><Relationship Id="rId7" Type="http://schemas.openxmlformats.org/officeDocument/2006/relationships/ctrlProp" Target="../ctrlProps/ctrlProp98.xml"/><Relationship Id="rId12" Type="http://schemas.openxmlformats.org/officeDocument/2006/relationships/ctrlProp" Target="../ctrlProps/ctrlProp103.xml"/><Relationship Id="rId2" Type="http://schemas.openxmlformats.org/officeDocument/2006/relationships/drawing" Target="../drawings/drawing9.xml"/><Relationship Id="rId16" Type="http://schemas.openxmlformats.org/officeDocument/2006/relationships/comments" Target="../comments8.xml"/><Relationship Id="rId1" Type="http://schemas.openxmlformats.org/officeDocument/2006/relationships/printerSettings" Target="../printerSettings/printerSettings9.bin"/><Relationship Id="rId6" Type="http://schemas.openxmlformats.org/officeDocument/2006/relationships/ctrlProp" Target="../ctrlProps/ctrlProp97.xml"/><Relationship Id="rId11" Type="http://schemas.openxmlformats.org/officeDocument/2006/relationships/ctrlProp" Target="../ctrlProps/ctrlProp102.xml"/><Relationship Id="rId5" Type="http://schemas.openxmlformats.org/officeDocument/2006/relationships/ctrlProp" Target="../ctrlProps/ctrlProp96.xml"/><Relationship Id="rId15" Type="http://schemas.openxmlformats.org/officeDocument/2006/relationships/ctrlProp" Target="../ctrlProps/ctrlProp106.xml"/><Relationship Id="rId10" Type="http://schemas.openxmlformats.org/officeDocument/2006/relationships/ctrlProp" Target="../ctrlProps/ctrlProp101.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B1:AR147"/>
  <sheetViews>
    <sheetView tabSelected="1" view="pageBreakPreview" zoomScale="70" zoomScaleNormal="70" zoomScaleSheetLayoutView="70" workbookViewId="0">
      <selection activeCell="X4" sqref="X4:AC4"/>
    </sheetView>
  </sheetViews>
  <sheetFormatPr defaultRowHeight="13.5"/>
  <cols>
    <col min="1" max="1" width="0.75" customWidth="1"/>
    <col min="2" max="29" width="3.625" customWidth="1"/>
    <col min="30" max="30" width="4.125" customWidth="1"/>
    <col min="31" max="31" width="7" hidden="1" customWidth="1"/>
    <col min="32" max="32" width="16" hidden="1" customWidth="1"/>
    <col min="33" max="33" width="5.375" hidden="1" customWidth="1"/>
    <col min="34" max="34" width="5.75" hidden="1" customWidth="1"/>
    <col min="35" max="35" width="5.375" hidden="1" customWidth="1"/>
    <col min="36" max="36" width="5.75" hidden="1" customWidth="1"/>
    <col min="37" max="37" width="5.375" hidden="1" customWidth="1"/>
    <col min="38" max="38" width="5.75" hidden="1" customWidth="1"/>
    <col min="39" max="39" width="5.375" hidden="1" customWidth="1"/>
    <col min="40" max="40" width="5.75" hidden="1" customWidth="1"/>
    <col min="41" max="41" width="5.375" hidden="1" customWidth="1"/>
    <col min="42" max="42" width="5.75" hidden="1" customWidth="1"/>
    <col min="43" max="43" width="5.375" hidden="1" customWidth="1"/>
    <col min="44" max="44" width="4.125" hidden="1" customWidth="1"/>
    <col min="45" max="45" width="4.125" customWidth="1"/>
    <col min="46" max="72" width="3.625" customWidth="1"/>
    <col min="86" max="94" width="3.625" customWidth="1"/>
  </cols>
  <sheetData>
    <row r="1" spans="2:43" ht="4.5" customHeight="1"/>
    <row r="2" spans="2:43" ht="30" customHeight="1">
      <c r="B2" s="127" t="s">
        <v>91</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E2" s="99">
        <v>1</v>
      </c>
      <c r="AF2" s="2" t="s">
        <v>271</v>
      </c>
    </row>
    <row r="3" spans="2:43" ht="24.95" customHeight="1">
      <c r="B3" s="128" t="s">
        <v>90</v>
      </c>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row>
    <row r="4" spans="2:43" ht="30" customHeight="1">
      <c r="W4" s="106" t="s">
        <v>278</v>
      </c>
      <c r="X4" s="118"/>
      <c r="Y4" s="119"/>
      <c r="Z4" s="119"/>
      <c r="AA4" s="119"/>
      <c r="AB4" s="119"/>
      <c r="AC4" s="120"/>
      <c r="AF4" s="1" t="s">
        <v>60</v>
      </c>
      <c r="AG4" s="1"/>
      <c r="AH4" s="1"/>
      <c r="AI4" s="1"/>
      <c r="AJ4" s="1"/>
      <c r="AK4" s="1"/>
      <c r="AL4" s="1"/>
      <c r="AM4" s="1"/>
      <c r="AN4" s="1"/>
    </row>
    <row r="5" spans="2:43" ht="30" customHeight="1" thickBot="1">
      <c r="B5" s="4" t="s">
        <v>24</v>
      </c>
      <c r="AE5" s="30"/>
      <c r="AF5" s="186" t="s">
        <v>268</v>
      </c>
      <c r="AG5" s="186"/>
      <c r="AH5" s="186" t="s">
        <v>269</v>
      </c>
      <c r="AI5" s="186"/>
      <c r="AJ5" s="186" t="s">
        <v>253</v>
      </c>
      <c r="AK5" s="186"/>
      <c r="AL5" s="176" t="s">
        <v>76</v>
      </c>
      <c r="AM5" s="177"/>
      <c r="AN5" s="176" t="s">
        <v>77</v>
      </c>
      <c r="AO5" s="177"/>
      <c r="AP5" s="176" t="s">
        <v>78</v>
      </c>
      <c r="AQ5" s="177"/>
    </row>
    <row r="6" spans="2:43" s="2" customFormat="1" ht="30" customHeight="1">
      <c r="B6" s="136" t="s">
        <v>25</v>
      </c>
      <c r="C6" s="137"/>
      <c r="D6" s="137"/>
      <c r="E6" s="137"/>
      <c r="F6" s="137"/>
      <c r="G6" s="137"/>
      <c r="H6" s="137"/>
      <c r="I6" s="138"/>
      <c r="J6" s="78"/>
      <c r="K6" s="139"/>
      <c r="L6" s="139"/>
      <c r="M6" s="139"/>
      <c r="N6" s="139"/>
      <c r="O6" s="139"/>
      <c r="P6" s="139"/>
      <c r="Q6" s="139"/>
      <c r="R6" s="139"/>
      <c r="S6" s="139"/>
      <c r="T6" s="139"/>
      <c r="U6" s="139"/>
      <c r="V6" s="139"/>
      <c r="W6" s="139"/>
      <c r="X6" s="139"/>
      <c r="Y6" s="139"/>
      <c r="Z6" s="139"/>
      <c r="AA6" s="139"/>
      <c r="AB6" s="139"/>
      <c r="AC6" s="140"/>
      <c r="AE6" s="30"/>
      <c r="AF6" s="57" t="s">
        <v>252</v>
      </c>
      <c r="AG6" s="57" t="s">
        <v>251</v>
      </c>
      <c r="AH6" s="57" t="s">
        <v>252</v>
      </c>
      <c r="AI6" s="57" t="s">
        <v>251</v>
      </c>
      <c r="AJ6" s="57" t="s">
        <v>252</v>
      </c>
      <c r="AK6" s="57" t="s">
        <v>251</v>
      </c>
      <c r="AL6" s="57" t="s">
        <v>252</v>
      </c>
      <c r="AM6" s="57" t="s">
        <v>251</v>
      </c>
      <c r="AN6" s="57" t="s">
        <v>252</v>
      </c>
      <c r="AO6" s="57" t="s">
        <v>251</v>
      </c>
      <c r="AP6" s="57" t="s">
        <v>252</v>
      </c>
      <c r="AQ6" s="57" t="s">
        <v>251</v>
      </c>
    </row>
    <row r="7" spans="2:43" s="2" customFormat="1" ht="30" customHeight="1">
      <c r="B7" s="141" t="s">
        <v>26</v>
      </c>
      <c r="C7" s="142"/>
      <c r="D7" s="142"/>
      <c r="E7" s="142"/>
      <c r="F7" s="142"/>
      <c r="G7" s="142"/>
      <c r="H7" s="142"/>
      <c r="I7" s="143"/>
      <c r="J7" s="80"/>
      <c r="K7" s="144"/>
      <c r="L7" s="144"/>
      <c r="M7" s="144"/>
      <c r="N7" s="144"/>
      <c r="O7" s="144"/>
      <c r="P7" s="144"/>
      <c r="Q7" s="144"/>
      <c r="R7" s="144"/>
      <c r="S7" s="144"/>
      <c r="T7" s="144"/>
      <c r="U7" s="144"/>
      <c r="V7" s="144"/>
      <c r="W7" s="145"/>
      <c r="X7" s="146" t="s">
        <v>28</v>
      </c>
      <c r="Y7" s="147"/>
      <c r="Z7" s="147"/>
      <c r="AA7" s="148"/>
      <c r="AB7" s="148"/>
      <c r="AC7" s="149"/>
      <c r="AE7" s="86" t="s">
        <v>92</v>
      </c>
      <c r="AF7" s="86">
        <v>0.2</v>
      </c>
      <c r="AG7" s="86" t="s">
        <v>270</v>
      </c>
      <c r="AH7" s="86">
        <v>0.28000000000000003</v>
      </c>
      <c r="AI7" s="86" t="s">
        <v>270</v>
      </c>
      <c r="AJ7" s="88">
        <v>0.4</v>
      </c>
      <c r="AK7" s="84" t="s">
        <v>79</v>
      </c>
      <c r="AL7" s="85">
        <v>0.46</v>
      </c>
      <c r="AM7" s="84" t="s">
        <v>79</v>
      </c>
      <c r="AN7" s="85">
        <v>0.54</v>
      </c>
      <c r="AO7" s="84" t="s">
        <v>79</v>
      </c>
      <c r="AP7" s="85">
        <v>0.72</v>
      </c>
      <c r="AQ7" s="84" t="s">
        <v>79</v>
      </c>
    </row>
    <row r="8" spans="2:43" s="2" customFormat="1" ht="30" customHeight="1" thickBot="1">
      <c r="B8" s="180" t="s">
        <v>27</v>
      </c>
      <c r="C8" s="181"/>
      <c r="D8" s="181"/>
      <c r="E8" s="181"/>
      <c r="F8" s="181"/>
      <c r="G8" s="181"/>
      <c r="H8" s="181"/>
      <c r="I8" s="182"/>
      <c r="J8" s="79"/>
      <c r="K8" s="16"/>
      <c r="L8" s="16"/>
      <c r="M8" s="187" t="s">
        <v>29</v>
      </c>
      <c r="N8" s="187"/>
      <c r="O8" s="188"/>
      <c r="P8" s="188"/>
      <c r="Q8" s="16" t="s">
        <v>2</v>
      </c>
      <c r="R8" s="187" t="s">
        <v>30</v>
      </c>
      <c r="S8" s="187"/>
      <c r="T8" s="188"/>
      <c r="U8" s="188"/>
      <c r="V8" s="16" t="s">
        <v>2</v>
      </c>
      <c r="W8" s="16"/>
      <c r="X8" s="16"/>
      <c r="Y8" s="16"/>
      <c r="Z8" s="16"/>
      <c r="AA8" s="16"/>
      <c r="AB8" s="16"/>
      <c r="AC8" s="17"/>
      <c r="AE8" s="86" t="s">
        <v>93</v>
      </c>
      <c r="AF8" s="86">
        <v>0.2</v>
      </c>
      <c r="AG8" s="86" t="s">
        <v>270</v>
      </c>
      <c r="AH8" s="86">
        <v>0.28000000000000003</v>
      </c>
      <c r="AI8" s="86" t="s">
        <v>79</v>
      </c>
      <c r="AJ8" s="88">
        <v>0.4</v>
      </c>
      <c r="AK8" s="84" t="s">
        <v>79</v>
      </c>
      <c r="AL8" s="85">
        <v>0.46</v>
      </c>
      <c r="AM8" s="84" t="s">
        <v>79</v>
      </c>
      <c r="AN8" s="85">
        <v>0.54</v>
      </c>
      <c r="AO8" s="84" t="s">
        <v>79</v>
      </c>
      <c r="AP8" s="85">
        <v>0.72</v>
      </c>
      <c r="AQ8" s="84" t="s">
        <v>79</v>
      </c>
    </row>
    <row r="9" spans="2:43" s="2" customFormat="1" ht="30" customHeight="1">
      <c r="AE9" s="86" t="s">
        <v>94</v>
      </c>
      <c r="AF9" s="86">
        <v>0.2</v>
      </c>
      <c r="AG9" s="86" t="s">
        <v>270</v>
      </c>
      <c r="AH9" s="86">
        <v>0.28000000000000003</v>
      </c>
      <c r="AI9" s="86" t="s">
        <v>270</v>
      </c>
      <c r="AJ9" s="88">
        <v>0.5</v>
      </c>
      <c r="AK9" s="84" t="s">
        <v>79</v>
      </c>
      <c r="AL9" s="85">
        <v>0.56000000000000005</v>
      </c>
      <c r="AM9" s="84" t="s">
        <v>79</v>
      </c>
      <c r="AN9" s="85">
        <v>1.04</v>
      </c>
      <c r="AO9" s="84" t="s">
        <v>79</v>
      </c>
      <c r="AP9" s="85">
        <v>1.21</v>
      </c>
      <c r="AQ9" s="84" t="s">
        <v>79</v>
      </c>
    </row>
    <row r="10" spans="2:43" s="2" customFormat="1" ht="30" customHeight="1" thickBot="1">
      <c r="B10" s="4" t="s">
        <v>31</v>
      </c>
      <c r="AE10" s="86" t="s">
        <v>95</v>
      </c>
      <c r="AF10" s="86">
        <v>0.23</v>
      </c>
      <c r="AG10" s="86" t="s">
        <v>270</v>
      </c>
      <c r="AH10" s="86">
        <v>0.34</v>
      </c>
      <c r="AI10" s="86" t="s">
        <v>270</v>
      </c>
      <c r="AJ10" s="88">
        <v>0.6</v>
      </c>
      <c r="AK10" s="84" t="s">
        <v>79</v>
      </c>
      <c r="AL10" s="85">
        <v>0.75</v>
      </c>
      <c r="AM10" s="84" t="s">
        <v>79</v>
      </c>
      <c r="AN10" s="85">
        <v>1.25</v>
      </c>
      <c r="AO10" s="84" t="s">
        <v>79</v>
      </c>
      <c r="AP10" s="85">
        <v>1.47</v>
      </c>
      <c r="AQ10" s="84" t="s">
        <v>79</v>
      </c>
    </row>
    <row r="11" spans="2:43" s="2" customFormat="1" ht="30" customHeight="1">
      <c r="B11" s="129" t="s">
        <v>137</v>
      </c>
      <c r="C11" s="130"/>
      <c r="D11" s="130"/>
      <c r="E11" s="130"/>
      <c r="F11" s="130"/>
      <c r="G11" s="130"/>
      <c r="H11" s="130"/>
      <c r="I11" s="131"/>
      <c r="J11" s="132">
        <f>ROUND('Ａ（北）'!L43+'Ａ（北東）'!L43+'Ａ（東）'!L43+'Ａ（南東）'!L43+'Ａ（南）'!L43+'Ａ（南西）'!L43+'Ａ（西）'!L43+'Ａ（北西）'!L43+'Ｂ（屋根・床等）'!P32+'Ｃ（基礎）'!H15+'Ｃ（基礎）'!H45,2)</f>
        <v>0</v>
      </c>
      <c r="K11" s="133"/>
      <c r="L11" s="133"/>
      <c r="M11" s="134" t="s">
        <v>22</v>
      </c>
      <c r="N11" s="135"/>
      <c r="O11" s="129" t="s">
        <v>88</v>
      </c>
      <c r="P11" s="130"/>
      <c r="Q11" s="130"/>
      <c r="R11" s="130"/>
      <c r="S11" s="130"/>
      <c r="T11" s="130"/>
      <c r="U11" s="130"/>
      <c r="V11" s="130"/>
      <c r="W11" s="131"/>
      <c r="X11" s="121">
        <f>IF(AG24=0,0,ROUNDUP((AH24),1))</f>
        <v>0</v>
      </c>
      <c r="Y11" s="122"/>
      <c r="Z11" s="122"/>
      <c r="AA11" s="122"/>
      <c r="AB11" s="122"/>
      <c r="AC11" s="123"/>
      <c r="AE11" s="86" t="s">
        <v>96</v>
      </c>
      <c r="AF11" s="86">
        <v>0.26</v>
      </c>
      <c r="AG11" s="86">
        <v>3</v>
      </c>
      <c r="AH11" s="86">
        <v>0.46</v>
      </c>
      <c r="AI11" s="86">
        <v>3</v>
      </c>
      <c r="AJ11" s="88">
        <v>0.6</v>
      </c>
      <c r="AK11" s="84">
        <v>3</v>
      </c>
      <c r="AL11" s="85">
        <v>0.87</v>
      </c>
      <c r="AM11" s="84">
        <v>3</v>
      </c>
      <c r="AN11" s="85">
        <v>1.54</v>
      </c>
      <c r="AO11" s="84">
        <v>4</v>
      </c>
      <c r="AP11" s="85">
        <v>1.67</v>
      </c>
      <c r="AQ11" s="84" t="s">
        <v>79</v>
      </c>
    </row>
    <row r="12" spans="2:43" s="2" customFormat="1" ht="30" customHeight="1" thickBot="1">
      <c r="B12" s="180" t="s">
        <v>87</v>
      </c>
      <c r="C12" s="181"/>
      <c r="D12" s="181"/>
      <c r="E12" s="181"/>
      <c r="F12" s="181"/>
      <c r="G12" s="181"/>
      <c r="H12" s="181"/>
      <c r="I12" s="182"/>
      <c r="J12" s="183">
        <f>IF(AG23=0,0,ROUNDUP(AH23,2))</f>
        <v>0</v>
      </c>
      <c r="K12" s="183"/>
      <c r="L12" s="183"/>
      <c r="M12" s="184" t="s">
        <v>32</v>
      </c>
      <c r="N12" s="185"/>
      <c r="O12" s="180" t="s">
        <v>89</v>
      </c>
      <c r="P12" s="181"/>
      <c r="Q12" s="181"/>
      <c r="R12" s="181"/>
      <c r="S12" s="181"/>
      <c r="T12" s="181"/>
      <c r="U12" s="181"/>
      <c r="V12" s="181"/>
      <c r="W12" s="182"/>
      <c r="X12" s="124" t="str">
        <f>IF(AA7="８地域","-",IF(AG25=0,"0",ROUNDDOWN((AG25/J11)*100,1)))</f>
        <v>0</v>
      </c>
      <c r="Y12" s="125"/>
      <c r="Z12" s="125"/>
      <c r="AA12" s="125"/>
      <c r="AB12" s="125"/>
      <c r="AC12" s="126"/>
      <c r="AE12" s="86" t="s">
        <v>97</v>
      </c>
      <c r="AF12" s="86">
        <v>0.26</v>
      </c>
      <c r="AG12" s="86">
        <v>2.8</v>
      </c>
      <c r="AH12" s="86">
        <v>0.46</v>
      </c>
      <c r="AI12" s="86">
        <v>2.8</v>
      </c>
      <c r="AJ12" s="88">
        <v>0.6</v>
      </c>
      <c r="AK12" s="84">
        <v>2.8</v>
      </c>
      <c r="AL12" s="85">
        <v>0.87</v>
      </c>
      <c r="AM12" s="84">
        <v>2.8</v>
      </c>
      <c r="AN12" s="85">
        <v>1.54</v>
      </c>
      <c r="AO12" s="84">
        <v>3.8</v>
      </c>
      <c r="AP12" s="85">
        <v>1.67</v>
      </c>
      <c r="AQ12" s="84" t="s">
        <v>79</v>
      </c>
    </row>
    <row r="13" spans="2:43" s="2" customFormat="1" ht="30" customHeight="1">
      <c r="J13" s="31"/>
      <c r="K13" s="31"/>
      <c r="L13" s="31"/>
      <c r="M13" s="90"/>
      <c r="N13" s="89"/>
      <c r="AE13" s="86" t="s">
        <v>98</v>
      </c>
      <c r="AF13" s="86">
        <v>0.26</v>
      </c>
      <c r="AG13" s="86">
        <v>2.7</v>
      </c>
      <c r="AH13" s="86">
        <v>0.46</v>
      </c>
      <c r="AI13" s="86">
        <v>2.7</v>
      </c>
      <c r="AJ13" s="88">
        <v>0.6</v>
      </c>
      <c r="AK13" s="84">
        <v>2.7</v>
      </c>
      <c r="AL13" s="85">
        <v>0.87</v>
      </c>
      <c r="AM13" s="84">
        <v>2.7</v>
      </c>
      <c r="AN13" s="85">
        <v>1.81</v>
      </c>
      <c r="AO13" s="84">
        <v>4</v>
      </c>
      <c r="AP13" s="85">
        <v>2.35</v>
      </c>
      <c r="AQ13" s="84" t="s">
        <v>79</v>
      </c>
    </row>
    <row r="14" spans="2:43" s="2" customFormat="1" ht="30" customHeight="1">
      <c r="Z14" s="14"/>
      <c r="AA14" s="15"/>
      <c r="AB14" s="15"/>
      <c r="AC14" s="87"/>
      <c r="AE14" s="86" t="s">
        <v>99</v>
      </c>
      <c r="AF14" s="86" t="s">
        <v>270</v>
      </c>
      <c r="AG14" s="86" t="s">
        <v>270</v>
      </c>
      <c r="AH14" s="86" t="s">
        <v>270</v>
      </c>
      <c r="AI14" s="86">
        <v>5.0999999999999996</v>
      </c>
      <c r="AJ14" s="85" t="s">
        <v>79</v>
      </c>
      <c r="AK14" s="84">
        <v>6.7</v>
      </c>
      <c r="AL14" s="85" t="s">
        <v>79</v>
      </c>
      <c r="AM14" s="84">
        <v>6.7</v>
      </c>
      <c r="AN14" s="85" t="s">
        <v>79</v>
      </c>
      <c r="AO14" s="85" t="s">
        <v>79</v>
      </c>
      <c r="AP14" s="85" t="s">
        <v>79</v>
      </c>
      <c r="AQ14" s="84" t="s">
        <v>79</v>
      </c>
    </row>
    <row r="15" spans="2:43" s="2" customFormat="1" ht="30" customHeight="1" thickBot="1">
      <c r="B15" s="4" t="s">
        <v>61</v>
      </c>
      <c r="AE15" s="1"/>
      <c r="AF15" s="1"/>
      <c r="AG15" s="1"/>
      <c r="AH15" s="1"/>
      <c r="AI15" s="1"/>
      <c r="AJ15" s="1"/>
      <c r="AK15" s="1"/>
      <c r="AL15" s="1"/>
      <c r="AM15" s="1"/>
    </row>
    <row r="16" spans="2:43" s="2" customFormat="1" ht="30" customHeight="1" thickBot="1">
      <c r="B16" s="171"/>
      <c r="C16" s="172"/>
      <c r="D16" s="172"/>
      <c r="E16" s="172"/>
      <c r="F16" s="172"/>
      <c r="G16" s="172"/>
      <c r="H16" s="172"/>
      <c r="I16" s="173"/>
      <c r="J16" s="174" t="s">
        <v>62</v>
      </c>
      <c r="K16" s="175"/>
      <c r="L16" s="175"/>
      <c r="M16" s="175"/>
      <c r="N16" s="175"/>
      <c r="O16" s="175" t="s">
        <v>63</v>
      </c>
      <c r="P16" s="175"/>
      <c r="Q16" s="175"/>
      <c r="R16" s="175"/>
      <c r="S16" s="175"/>
      <c r="T16" s="195" t="s">
        <v>64</v>
      </c>
      <c r="U16" s="195"/>
      <c r="V16" s="195"/>
      <c r="W16" s="195"/>
      <c r="X16" s="196"/>
      <c r="Z16" s="95"/>
      <c r="AA16" s="178" t="s">
        <v>272</v>
      </c>
      <c r="AB16" s="178"/>
      <c r="AC16" s="179"/>
      <c r="AF16" s="1" t="s">
        <v>249</v>
      </c>
    </row>
    <row r="17" spans="2:43" s="2" customFormat="1" ht="30" customHeight="1">
      <c r="B17" s="136" t="s">
        <v>138</v>
      </c>
      <c r="C17" s="137"/>
      <c r="D17" s="137"/>
      <c r="E17" s="137"/>
      <c r="F17" s="137"/>
      <c r="G17" s="137"/>
      <c r="H17" s="137"/>
      <c r="I17" s="137"/>
      <c r="J17" s="169">
        <f>J12</f>
        <v>0</v>
      </c>
      <c r="K17" s="170"/>
      <c r="L17" s="170"/>
      <c r="M17" s="189" t="s">
        <v>32</v>
      </c>
      <c r="N17" s="190"/>
      <c r="O17" s="191" t="str">
        <f>IF(AA7&lt;&gt;"",VLOOKUP(AA7,AE7:AQ14,2+(AF17-1)*2,FALSE),"-")</f>
        <v>-</v>
      </c>
      <c r="P17" s="192"/>
      <c r="Q17" s="192"/>
      <c r="R17" s="189" t="s">
        <v>32</v>
      </c>
      <c r="S17" s="190"/>
      <c r="T17" s="193" t="str">
        <f>IF(O17="-","-",(IF(O17&gt;=AH23,"適合","不適合")))</f>
        <v>-</v>
      </c>
      <c r="U17" s="193"/>
      <c r="V17" s="193"/>
      <c r="W17" s="193"/>
      <c r="X17" s="194"/>
      <c r="Z17" s="97"/>
      <c r="AA17" s="154" t="s">
        <v>296</v>
      </c>
      <c r="AB17" s="155"/>
      <c r="AC17" s="156"/>
      <c r="AF17" s="83">
        <v>4</v>
      </c>
    </row>
    <row r="18" spans="2:43" s="2" customFormat="1" ht="30" customHeight="1" thickBot="1">
      <c r="B18" s="157" t="s">
        <v>139</v>
      </c>
      <c r="C18" s="158"/>
      <c r="D18" s="158"/>
      <c r="E18" s="158"/>
      <c r="F18" s="158"/>
      <c r="G18" s="158"/>
      <c r="H18" s="158"/>
      <c r="I18" s="158"/>
      <c r="J18" s="159">
        <f>X11</f>
        <v>0</v>
      </c>
      <c r="K18" s="160"/>
      <c r="L18" s="160"/>
      <c r="M18" s="161"/>
      <c r="N18" s="162"/>
      <c r="O18" s="163" t="str">
        <f>IF(AA7&lt;&gt;"",VLOOKUP(AA7,AE7:AQ14,3+(AF17-1)*2,FALSE),"-")</f>
        <v>-</v>
      </c>
      <c r="P18" s="164"/>
      <c r="Q18" s="164"/>
      <c r="R18" s="161"/>
      <c r="S18" s="162"/>
      <c r="T18" s="165" t="str">
        <f>IF(O18="-","-",(IF(O18&gt;=AH24,"適合","不適合")))</f>
        <v>-</v>
      </c>
      <c r="U18" s="165"/>
      <c r="V18" s="165"/>
      <c r="W18" s="165"/>
      <c r="X18" s="166"/>
      <c r="Z18" s="97"/>
      <c r="AA18" s="155" t="s">
        <v>250</v>
      </c>
      <c r="AB18" s="155"/>
      <c r="AC18" s="156"/>
      <c r="AE18" s="1"/>
      <c r="AF18" s="1"/>
    </row>
    <row r="19" spans="2:43" s="2" customFormat="1" ht="30" customHeight="1">
      <c r="Z19" s="96"/>
      <c r="AA19" s="154" t="s">
        <v>295</v>
      </c>
      <c r="AB19" s="155"/>
      <c r="AC19" s="156"/>
      <c r="AE19" s="82"/>
    </row>
    <row r="20" spans="2:43" s="2" customFormat="1" ht="30" customHeight="1">
      <c r="Z20" s="96"/>
      <c r="AA20" s="167" t="s">
        <v>277</v>
      </c>
      <c r="AB20" s="167"/>
      <c r="AC20" s="168"/>
      <c r="AE20" s="82"/>
      <c r="AF20" s="102"/>
      <c r="AG20" s="103"/>
      <c r="AH20" s="102"/>
      <c r="AI20" s="103"/>
      <c r="AJ20" s="102"/>
      <c r="AK20" s="103"/>
      <c r="AL20" s="102"/>
      <c r="AM20" s="30"/>
      <c r="AN20" s="102"/>
      <c r="AO20" s="30"/>
      <c r="AP20" s="102"/>
      <c r="AQ20" s="30"/>
    </row>
    <row r="21" spans="2:43" s="2" customFormat="1" ht="30" customHeight="1" thickBot="1">
      <c r="Z21" s="98"/>
      <c r="AA21" s="150" t="s">
        <v>80</v>
      </c>
      <c r="AB21" s="150"/>
      <c r="AC21" s="151"/>
      <c r="AE21" s="82"/>
      <c r="AH21" s="1"/>
      <c r="AI21" s="1"/>
      <c r="AJ21" s="1"/>
      <c r="AK21" s="1"/>
      <c r="AL21" s="1"/>
      <c r="AM21" s="1"/>
    </row>
    <row r="22" spans="2:43" s="2" customFormat="1" ht="30" customHeight="1">
      <c r="C22" s="5"/>
      <c r="D22" s="5"/>
      <c r="E22" s="5"/>
      <c r="F22" s="5"/>
      <c r="G22" s="5"/>
      <c r="H22" s="5"/>
      <c r="I22" s="5"/>
      <c r="J22" s="5"/>
      <c r="K22" s="5"/>
      <c r="L22" s="5"/>
      <c r="M22" s="5"/>
      <c r="N22" s="5"/>
      <c r="O22" s="5"/>
      <c r="P22" s="5"/>
      <c r="Q22" s="5"/>
      <c r="R22" s="5"/>
      <c r="S22" s="5"/>
      <c r="T22" s="5"/>
      <c r="U22" s="5"/>
      <c r="V22" s="5"/>
      <c r="W22" s="5"/>
      <c r="X22" s="5"/>
      <c r="Y22" s="5"/>
      <c r="Z22" s="5"/>
      <c r="AA22" s="5"/>
      <c r="AB22" s="5"/>
      <c r="AF22" s="1"/>
      <c r="AG22" s="1"/>
      <c r="AH22" s="1"/>
      <c r="AI22" s="1"/>
    </row>
    <row r="23" spans="2:43" s="2" customFormat="1" ht="30" customHeight="1">
      <c r="C23" s="6" t="s">
        <v>258</v>
      </c>
      <c r="AB23" s="11"/>
      <c r="AF23" s="57" t="s">
        <v>248</v>
      </c>
      <c r="AG23" s="81">
        <f>'Ａ（北）'!W46+'Ａ（北東）'!W46+'Ａ（東）'!W46+'Ａ（南東）'!W46+'Ａ（南）'!W46+'Ａ（南西）'!W46+'Ａ（西）'!W46+'Ａ（北西）'!W46+'Ｂ（屋根・床等）'!W35+'Ｃ（基礎）'!Q30+'Ｃ（基礎）'!W45</f>
        <v>0</v>
      </c>
      <c r="AH23" s="1">
        <f>IF(AG23=0,0,AG23/J11)</f>
        <v>0</v>
      </c>
      <c r="AI23" s="1"/>
    </row>
    <row r="24" spans="2:43" s="2" customFormat="1" ht="30" customHeight="1">
      <c r="C24" s="6" t="s">
        <v>102</v>
      </c>
      <c r="AB24" s="11"/>
      <c r="AF24" s="57" t="s">
        <v>247</v>
      </c>
      <c r="AG24" s="81">
        <f>'Ａ（北）'!W44+'Ａ（北東）'!W44+'Ａ（東）'!W44+'Ａ（南東）'!W44+'Ａ（南）'!W44+'Ａ（南西）'!W44+'Ａ（西）'!W44+'Ａ（北西）'!W44+'Ｂ（屋根・床等）'!W33+'Ｃ（基礎）'!Q45</f>
        <v>0</v>
      </c>
      <c r="AH24" s="1">
        <f>IF(AG24=0,0,(AG24/J11)*100)</f>
        <v>0</v>
      </c>
    </row>
    <row r="25" spans="2:43" s="2" customFormat="1" ht="30" customHeight="1">
      <c r="C25" s="6" t="s">
        <v>103</v>
      </c>
      <c r="G25" s="152" t="s">
        <v>52</v>
      </c>
      <c r="H25" s="153"/>
      <c r="I25" s="6" t="s">
        <v>51</v>
      </c>
      <c r="AB25" s="11"/>
      <c r="AF25" s="57" t="s">
        <v>246</v>
      </c>
      <c r="AG25" s="81">
        <f>'Ａ（北）'!W45+'Ａ（北東）'!W45+'Ａ（東）'!W45+'Ａ（南東）'!W45+'Ａ（南）'!W45+'Ａ（南西）'!W45+'Ａ（西）'!W45+'Ａ（北西）'!W45+'Ｂ（屋根・床等）'!W34+'Ｃ（基礎）'!T45</f>
        <v>0</v>
      </c>
    </row>
    <row r="26" spans="2:43" s="2" customFormat="1" ht="30" customHeight="1">
      <c r="C26" s="6" t="s">
        <v>104</v>
      </c>
      <c r="G26" s="19"/>
      <c r="H26" s="19"/>
      <c r="AB26" s="11"/>
      <c r="AF26"/>
      <c r="AI26" s="1"/>
    </row>
    <row r="27" spans="2:43" s="2" customFormat="1" ht="30" customHeight="1">
      <c r="C27" s="6" t="s">
        <v>105</v>
      </c>
      <c r="AB27" s="11"/>
      <c r="AF27"/>
    </row>
    <row r="28" spans="2:43" s="2" customFormat="1" ht="30" customHeight="1">
      <c r="C28" s="12" t="s">
        <v>100</v>
      </c>
      <c r="D28" s="5"/>
      <c r="E28" s="5"/>
      <c r="F28" s="5"/>
      <c r="G28" s="5"/>
      <c r="H28" s="5"/>
      <c r="I28" s="5"/>
      <c r="J28" s="5"/>
      <c r="K28" s="5"/>
      <c r="L28" s="5"/>
      <c r="M28" s="5"/>
      <c r="N28" s="5"/>
      <c r="O28" s="5"/>
      <c r="P28" s="5"/>
      <c r="Q28" s="5"/>
      <c r="R28" s="5"/>
      <c r="S28" s="5"/>
      <c r="T28" s="5"/>
      <c r="U28" s="5"/>
      <c r="V28" s="5"/>
      <c r="W28" s="5"/>
      <c r="X28" s="5"/>
      <c r="Y28" s="5"/>
      <c r="Z28" s="5"/>
      <c r="AA28" s="5"/>
      <c r="AB28" s="13"/>
      <c r="AF28"/>
    </row>
    <row r="29" spans="2:43" s="2" customFormat="1" ht="30" customHeight="1"/>
    <row r="30" spans="2:43" s="2" customFormat="1" ht="30" customHeight="1"/>
    <row r="31" spans="2:43" s="2" customFormat="1" ht="30" customHeight="1"/>
    <row r="32" spans="2:43" s="2" customFormat="1" ht="20.100000000000001" customHeight="1"/>
    <row r="33" spans="29:29" s="2" customFormat="1" ht="20.100000000000001" customHeight="1"/>
    <row r="34" spans="29:29" s="2" customFormat="1" ht="20.100000000000001" customHeight="1"/>
    <row r="35" spans="29:29" s="2" customFormat="1" ht="20.100000000000001" customHeight="1"/>
    <row r="36" spans="29:29" s="2" customFormat="1" ht="20.100000000000001" customHeight="1"/>
    <row r="37" spans="29:29" s="2" customFormat="1" ht="20.100000000000001" customHeight="1"/>
    <row r="38" spans="29:29" s="2" customFormat="1" ht="20.100000000000001" customHeight="1"/>
    <row r="39" spans="29:29" s="2" customFormat="1" ht="20.100000000000001" customHeight="1"/>
    <row r="40" spans="29:29" s="2" customFormat="1" ht="20.100000000000001" customHeight="1"/>
    <row r="41" spans="29:29" s="2" customFormat="1" ht="20.100000000000001" customHeight="1"/>
    <row r="42" spans="29:29" s="2" customFormat="1" ht="20.100000000000001" customHeight="1"/>
    <row r="43" spans="29:29" s="2" customFormat="1" ht="20.100000000000001" customHeight="1"/>
    <row r="44" spans="29:29" s="2" customFormat="1" ht="20.100000000000001" customHeight="1"/>
    <row r="45" spans="29:29" s="2" customFormat="1" ht="20.100000000000001" customHeight="1"/>
    <row r="46" spans="29:29" s="2" customFormat="1" ht="20.100000000000001" customHeight="1"/>
    <row r="47" spans="29:29" s="2" customFormat="1" ht="20.100000000000001" customHeight="1">
      <c r="AC47" s="2">
        <v>1</v>
      </c>
    </row>
    <row r="48" spans="29:29" s="2" customFormat="1" ht="20.100000000000001" customHeight="1"/>
    <row r="49" s="2" customFormat="1" ht="20.100000000000001" customHeight="1"/>
    <row r="50" s="2" customFormat="1" ht="20.100000000000001" customHeight="1"/>
    <row r="51" s="2" customFormat="1" ht="20.100000000000001" customHeight="1"/>
    <row r="52" s="2" customFormat="1" ht="20.100000000000001" customHeight="1"/>
    <row r="53" s="2" customFormat="1" ht="20.100000000000001" customHeight="1"/>
    <row r="54" s="2" customFormat="1" ht="20.100000000000001" customHeight="1"/>
    <row r="55" s="2" customFormat="1" ht="20.100000000000001" customHeight="1"/>
    <row r="56" s="2" customFormat="1" ht="20.100000000000001" customHeight="1"/>
    <row r="57" s="2" customFormat="1" ht="20.100000000000001" customHeight="1"/>
    <row r="58" s="2" customFormat="1" ht="20.100000000000001" customHeight="1"/>
    <row r="59" s="2" customFormat="1" ht="20.100000000000001" customHeight="1"/>
    <row r="60" s="2" customFormat="1" ht="20.100000000000001" customHeight="1"/>
    <row r="61" s="2" customFormat="1" ht="20.100000000000001" customHeight="1"/>
    <row r="62" s="2" customFormat="1" ht="20.100000000000001" customHeight="1"/>
    <row r="63" s="2" customFormat="1" ht="20.100000000000001" customHeight="1"/>
    <row r="64" s="2" customFormat="1" ht="20.100000000000001" customHeight="1"/>
    <row r="65" s="2" customFormat="1" ht="20.100000000000001" customHeight="1"/>
    <row r="66" s="2" customFormat="1" ht="20.100000000000001" customHeight="1"/>
    <row r="67" s="2" customFormat="1" ht="20.100000000000001" customHeight="1"/>
    <row r="68" s="2" customFormat="1" ht="20.100000000000001" customHeight="1"/>
    <row r="69" s="2" customFormat="1" ht="20.100000000000001" customHeight="1"/>
    <row r="70" s="2" customFormat="1" ht="20.100000000000001" customHeight="1"/>
    <row r="71" s="2" customFormat="1" ht="20.100000000000001" customHeight="1"/>
    <row r="72" s="2" customFormat="1" ht="20.100000000000001" customHeight="1"/>
    <row r="73" s="2" customFormat="1" ht="20.100000000000001" customHeight="1"/>
    <row r="74" s="2" customFormat="1" ht="20.100000000000001" customHeight="1"/>
    <row r="75" s="2" customFormat="1" ht="20.100000000000001" customHeight="1"/>
    <row r="76" s="2" customFormat="1" ht="20.100000000000001" customHeight="1"/>
    <row r="77" s="2" customFormat="1" ht="20.100000000000001" customHeight="1"/>
    <row r="78" s="2" customFormat="1" ht="20.100000000000001" customHeight="1"/>
    <row r="79" s="2" customFormat="1" ht="20.100000000000001" customHeight="1"/>
    <row r="80" s="2" customFormat="1" ht="20.100000000000001" customHeight="1"/>
    <row r="81" s="2" customFormat="1" ht="20.100000000000001" customHeight="1"/>
    <row r="82" s="2" customFormat="1" ht="20.100000000000001" customHeight="1"/>
    <row r="83" s="2" customFormat="1" ht="20.100000000000001" customHeight="1"/>
    <row r="84" s="2" customFormat="1" ht="20.100000000000001" customHeight="1"/>
    <row r="85" s="2" customFormat="1" ht="20.100000000000001" customHeight="1"/>
    <row r="86" s="2" customFormat="1" ht="20.100000000000001" customHeight="1"/>
    <row r="87" s="2" customFormat="1" ht="20.100000000000001" customHeight="1"/>
    <row r="88" s="2" customFormat="1" ht="20.100000000000001" customHeight="1"/>
    <row r="89" s="2" customFormat="1" ht="20.100000000000001" customHeight="1"/>
    <row r="90" s="2" customFormat="1" ht="20.100000000000001" customHeight="1"/>
    <row r="91" s="2" customFormat="1" ht="20.100000000000001" customHeight="1"/>
    <row r="92" s="2" customFormat="1" ht="20.100000000000001" customHeight="1"/>
    <row r="93" s="2" customFormat="1" ht="20.100000000000001" customHeight="1"/>
    <row r="94" s="2" customFormat="1" ht="20.100000000000001" customHeight="1"/>
    <row r="95" s="2" customFormat="1" ht="20.100000000000001" customHeight="1"/>
    <row r="96" s="2" customFormat="1" ht="20.100000000000001" customHeight="1"/>
    <row r="97" s="2" customFormat="1" ht="20.100000000000001" customHeight="1"/>
    <row r="98" s="2" customFormat="1" ht="20.100000000000001" customHeight="1"/>
    <row r="99" s="2" customFormat="1" ht="20.100000000000001" customHeight="1"/>
    <row r="100" s="2" customFormat="1" ht="20.100000000000001" customHeight="1"/>
    <row r="101" s="2" customFormat="1" ht="20.100000000000001" customHeight="1"/>
    <row r="102" s="2" customFormat="1" ht="20.100000000000001" customHeight="1"/>
    <row r="103" s="2" customFormat="1" ht="20.100000000000001" customHeight="1"/>
    <row r="104" s="2" customFormat="1" ht="20.100000000000001" customHeight="1"/>
    <row r="105" s="2" customFormat="1" ht="20.100000000000001" customHeight="1"/>
    <row r="106" s="2" customFormat="1" ht="20.100000000000001" customHeight="1"/>
    <row r="107" s="2" customFormat="1" ht="20.100000000000001" customHeight="1"/>
    <row r="108" s="2" customFormat="1" ht="20.100000000000001" customHeight="1"/>
    <row r="109" s="2" customFormat="1" ht="20.100000000000001" customHeight="1"/>
    <row r="110" s="2" customFormat="1" ht="20.100000000000001" customHeight="1"/>
    <row r="111" s="2" customFormat="1" ht="20.100000000000001" customHeight="1"/>
    <row r="112" s="2" customFormat="1" ht="20.100000000000001" customHeight="1"/>
    <row r="113" s="2" customFormat="1" ht="20.100000000000001" customHeight="1"/>
    <row r="114" s="2" customFormat="1" ht="20.100000000000001" customHeight="1"/>
    <row r="115" s="2" customFormat="1" ht="20.100000000000001" customHeight="1"/>
    <row r="116" s="2" customFormat="1" ht="20.100000000000001" customHeight="1"/>
    <row r="117" s="2" customFormat="1" ht="20.100000000000001" customHeight="1"/>
    <row r="118" s="2" customFormat="1" ht="20.100000000000001" customHeight="1"/>
    <row r="119" s="2" customFormat="1" ht="20.100000000000001" customHeight="1"/>
    <row r="120" s="2" customFormat="1" ht="20.100000000000001" customHeight="1"/>
    <row r="121" s="2" customFormat="1" ht="20.100000000000001" customHeight="1"/>
    <row r="122" s="2" customFormat="1" ht="20.100000000000001" customHeight="1"/>
    <row r="123" s="2" customFormat="1" ht="20.100000000000001" customHeight="1"/>
    <row r="124" s="2" customFormat="1" ht="20.100000000000001" customHeight="1"/>
    <row r="125" s="2" customFormat="1" ht="20.100000000000001" customHeight="1"/>
    <row r="126" s="2" customFormat="1" ht="20.100000000000001" customHeight="1"/>
    <row r="127" s="2" customFormat="1" ht="20.100000000000001" customHeight="1"/>
    <row r="128" s="2" customFormat="1" ht="20.100000000000001" customHeight="1"/>
    <row r="129" s="2" customFormat="1" ht="20.100000000000001" customHeight="1"/>
    <row r="130" s="2" customFormat="1" ht="20.100000000000001" customHeight="1"/>
    <row r="131" s="2" customFormat="1" ht="20.100000000000001" customHeight="1"/>
    <row r="132" s="2" customFormat="1" ht="20.100000000000001" customHeight="1"/>
    <row r="133" s="2" customFormat="1" ht="20.100000000000001" customHeight="1"/>
    <row r="134" s="2" customFormat="1" ht="20.100000000000001" customHeight="1"/>
    <row r="135" s="2" customFormat="1" ht="20.100000000000001" customHeight="1"/>
    <row r="136" s="2" customFormat="1" ht="20.100000000000001" customHeight="1"/>
    <row r="137" s="2" customFormat="1" ht="20.100000000000001" customHeight="1"/>
    <row r="138" s="2" customFormat="1" ht="20.100000000000001" customHeight="1"/>
    <row r="139" s="2" customFormat="1" ht="20.100000000000001" customHeight="1"/>
    <row r="140" s="2" customFormat="1" ht="20.100000000000001" customHeight="1"/>
    <row r="141" s="2" customFormat="1" ht="20.100000000000001" customHeight="1"/>
    <row r="142" s="3" customFormat="1" ht="20.100000000000001" customHeight="1"/>
    <row r="143" s="3" customFormat="1" ht="20.100000000000001" customHeight="1"/>
    <row r="144" ht="20.100000000000001" customHeight="1"/>
    <row r="145" ht="20.100000000000001" customHeight="1"/>
    <row r="146" ht="20.100000000000001" customHeight="1"/>
    <row r="147" ht="20.100000000000001" customHeight="1"/>
  </sheetData>
  <sheetProtection algorithmName="SHA-512" hashValue="PdiC0rCfad2yEaK8aOtzgeFBQJ6UUMTz2NIxcUdhWpRyNcNdFSVQ2W+RF5egVTMgpB2zvxutlLjBZTUgzey5ew==" saltValue="50l/E6sh5oFQjYscFBSy2g==" spinCount="100000" sheet="1" selectLockedCells="1"/>
  <mergeCells count="53">
    <mergeCell ref="AN5:AO5"/>
    <mergeCell ref="AP5:AQ5"/>
    <mergeCell ref="M17:N17"/>
    <mergeCell ref="O17:Q17"/>
    <mergeCell ref="R17:S17"/>
    <mergeCell ref="AA17:AC17"/>
    <mergeCell ref="T17:X17"/>
    <mergeCell ref="O16:S16"/>
    <mergeCell ref="T16:X16"/>
    <mergeCell ref="AF5:AG5"/>
    <mergeCell ref="T8:U8"/>
    <mergeCell ref="B17:I17"/>
    <mergeCell ref="J17:L17"/>
    <mergeCell ref="B16:I16"/>
    <mergeCell ref="J16:N16"/>
    <mergeCell ref="AL5:AM5"/>
    <mergeCell ref="AA16:AC16"/>
    <mergeCell ref="B12:I12"/>
    <mergeCell ref="J12:L12"/>
    <mergeCell ref="M12:N12"/>
    <mergeCell ref="O12:W12"/>
    <mergeCell ref="AJ5:AK5"/>
    <mergeCell ref="AH5:AI5"/>
    <mergeCell ref="B8:I8"/>
    <mergeCell ref="M8:N8"/>
    <mergeCell ref="O8:P8"/>
    <mergeCell ref="R8:S8"/>
    <mergeCell ref="AA21:AC21"/>
    <mergeCell ref="G25:H25"/>
    <mergeCell ref="AA19:AC19"/>
    <mergeCell ref="B18:I18"/>
    <mergeCell ref="J18:L18"/>
    <mergeCell ref="M18:N18"/>
    <mergeCell ref="O18:Q18"/>
    <mergeCell ref="R18:S18"/>
    <mergeCell ref="T18:X18"/>
    <mergeCell ref="AA20:AC20"/>
    <mergeCell ref="AA18:AC18"/>
    <mergeCell ref="X4:AC4"/>
    <mergeCell ref="X11:AC11"/>
    <mergeCell ref="X12:AC12"/>
    <mergeCell ref="B2:AC2"/>
    <mergeCell ref="B3:AC3"/>
    <mergeCell ref="B11:I11"/>
    <mergeCell ref="J11:L11"/>
    <mergeCell ref="M11:N11"/>
    <mergeCell ref="O11:W11"/>
    <mergeCell ref="B6:I6"/>
    <mergeCell ref="K6:AC6"/>
    <mergeCell ref="B7:I7"/>
    <mergeCell ref="K7:W7"/>
    <mergeCell ref="X7:Z7"/>
    <mergeCell ref="AA7:AC7"/>
  </mergeCells>
  <phoneticPr fontId="4"/>
  <conditionalFormatting sqref="J11:L12">
    <cfRule type="expression" dxfId="139" priority="6">
      <formula>$AE$2&lt;&gt;2</formula>
    </cfRule>
  </conditionalFormatting>
  <conditionalFormatting sqref="J17:L18">
    <cfRule type="expression" dxfId="138" priority="4">
      <formula>$AE$2&lt;&gt;2</formula>
    </cfRule>
  </conditionalFormatting>
  <conditionalFormatting sqref="K7:W7">
    <cfRule type="expression" dxfId="137" priority="20" stopIfTrue="1">
      <formula>$AE$2&lt;&gt;2</formula>
    </cfRule>
  </conditionalFormatting>
  <conditionalFormatting sqref="K6:AC6">
    <cfRule type="expression" dxfId="136" priority="33" stopIfTrue="1">
      <formula>$AE$2&lt;&gt;2</formula>
    </cfRule>
  </conditionalFormatting>
  <conditionalFormatting sqref="O8:P8">
    <cfRule type="expression" dxfId="135" priority="15" stopIfTrue="1">
      <formula>$AE$2&lt;&gt;2</formula>
    </cfRule>
  </conditionalFormatting>
  <conditionalFormatting sqref="O17:Q18">
    <cfRule type="expression" dxfId="134" priority="3">
      <formula>$AE$2&lt;&gt;2</formula>
    </cfRule>
  </conditionalFormatting>
  <conditionalFormatting sqref="T8:U8">
    <cfRule type="expression" dxfId="133" priority="13" stopIfTrue="1">
      <formula>$AE$2&lt;&gt;2</formula>
    </cfRule>
  </conditionalFormatting>
  <conditionalFormatting sqref="T17:X18">
    <cfRule type="expression" dxfId="132" priority="2">
      <formula>$AE$2&lt;&gt;2</formula>
    </cfRule>
  </conditionalFormatting>
  <conditionalFormatting sqref="X11:X12">
    <cfRule type="expression" dxfId="131" priority="5">
      <formula>$AE$2&lt;&gt;2</formula>
    </cfRule>
  </conditionalFormatting>
  <conditionalFormatting sqref="X4:AC4">
    <cfRule type="expression" dxfId="130" priority="1">
      <formula>$AE$2&lt;&gt;2</formula>
    </cfRule>
  </conditionalFormatting>
  <conditionalFormatting sqref="Z16:Z21">
    <cfRule type="expression" dxfId="129" priority="7" stopIfTrue="1">
      <formula>$AE$2&lt;&gt;2</formula>
    </cfRule>
  </conditionalFormatting>
  <conditionalFormatting sqref="AA7:AC7">
    <cfRule type="expression" dxfId="128" priority="17" stopIfTrue="1">
      <formula>$AE$2&lt;&gt;2</formula>
    </cfRule>
  </conditionalFormatting>
  <conditionalFormatting sqref="AE7:AQ14">
    <cfRule type="expression" dxfId="127" priority="165">
      <formula>$AA$7=$AE7</formula>
    </cfRule>
  </conditionalFormatting>
  <dataValidations count="1">
    <dataValidation type="list" allowBlank="1" showInputMessage="1" showErrorMessage="1" sqref="AA7:AC7" xr:uid="{00000000-0002-0000-0000-000000000000}">
      <formula1>"１地域,２地域,３地域,４地域,５地域,６地域,７地域,８地域"</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colBreaks count="1" manualBreakCount="1">
    <brk id="29" min="1" max="27" man="1"/>
  </colBreaks>
  <drawing r:id="rId2"/>
  <legacyDrawing r:id="rId3"/>
  <mc:AlternateContent xmlns:mc="http://schemas.openxmlformats.org/markup-compatibility/2006">
    <mc:Choice Requires="x14">
      <controls>
        <mc:AlternateContent xmlns:mc="http://schemas.openxmlformats.org/markup-compatibility/2006">
          <mc:Choice Requires="x14">
            <control shapeId="132098" r:id="rId4" name="Option Button 2">
              <controlPr defaultSize="0" autoFill="0" autoLine="0" autoPict="0">
                <anchor moveWithCells="1">
                  <from>
                    <xdr:col>25</xdr:col>
                    <xdr:colOff>28575</xdr:colOff>
                    <xdr:row>15</xdr:row>
                    <xdr:rowOff>104775</xdr:rowOff>
                  </from>
                  <to>
                    <xdr:col>25</xdr:col>
                    <xdr:colOff>257175</xdr:colOff>
                    <xdr:row>15</xdr:row>
                    <xdr:rowOff>314325</xdr:rowOff>
                  </to>
                </anchor>
              </controlPr>
            </control>
          </mc:Choice>
        </mc:AlternateContent>
        <mc:AlternateContent xmlns:mc="http://schemas.openxmlformats.org/markup-compatibility/2006">
          <mc:Choice Requires="x14">
            <control shapeId="132099" r:id="rId5" name="Option Button 3">
              <controlPr defaultSize="0" autoFill="0" autoLine="0" autoPict="0">
                <anchor moveWithCells="1">
                  <from>
                    <xdr:col>25</xdr:col>
                    <xdr:colOff>28575</xdr:colOff>
                    <xdr:row>16</xdr:row>
                    <xdr:rowOff>104775</xdr:rowOff>
                  </from>
                  <to>
                    <xdr:col>25</xdr:col>
                    <xdr:colOff>257175</xdr:colOff>
                    <xdr:row>16</xdr:row>
                    <xdr:rowOff>314325</xdr:rowOff>
                  </to>
                </anchor>
              </controlPr>
            </control>
          </mc:Choice>
        </mc:AlternateContent>
        <mc:AlternateContent xmlns:mc="http://schemas.openxmlformats.org/markup-compatibility/2006">
          <mc:Choice Requires="x14">
            <control shapeId="132100" r:id="rId6" name="Option Button 4">
              <controlPr defaultSize="0" autoFill="0" autoLine="0" autoPict="0">
                <anchor moveWithCells="1">
                  <from>
                    <xdr:col>25</xdr:col>
                    <xdr:colOff>28575</xdr:colOff>
                    <xdr:row>17</xdr:row>
                    <xdr:rowOff>104775</xdr:rowOff>
                  </from>
                  <to>
                    <xdr:col>25</xdr:col>
                    <xdr:colOff>257175</xdr:colOff>
                    <xdr:row>17</xdr:row>
                    <xdr:rowOff>314325</xdr:rowOff>
                  </to>
                </anchor>
              </controlPr>
            </control>
          </mc:Choice>
        </mc:AlternateContent>
        <mc:AlternateContent xmlns:mc="http://schemas.openxmlformats.org/markup-compatibility/2006">
          <mc:Choice Requires="x14">
            <control shapeId="132103" r:id="rId7" name="Option Button 1">
              <controlPr defaultSize="0" autoFill="0" autoLine="0" autoPict="0">
                <anchor moveWithCells="1">
                  <from>
                    <xdr:col>25</xdr:col>
                    <xdr:colOff>28575</xdr:colOff>
                    <xdr:row>18</xdr:row>
                    <xdr:rowOff>104775</xdr:rowOff>
                  </from>
                  <to>
                    <xdr:col>25</xdr:col>
                    <xdr:colOff>257175</xdr:colOff>
                    <xdr:row>18</xdr:row>
                    <xdr:rowOff>314325</xdr:rowOff>
                  </to>
                </anchor>
              </controlPr>
            </control>
          </mc:Choice>
        </mc:AlternateContent>
        <mc:AlternateContent xmlns:mc="http://schemas.openxmlformats.org/markup-compatibility/2006">
          <mc:Choice Requires="x14">
            <control shapeId="132097" r:id="rId8" name="Option Button 1">
              <controlPr defaultSize="0" autoFill="0" autoLine="0" autoPict="0">
                <anchor moveWithCells="1">
                  <from>
                    <xdr:col>25</xdr:col>
                    <xdr:colOff>28575</xdr:colOff>
                    <xdr:row>19</xdr:row>
                    <xdr:rowOff>104775</xdr:rowOff>
                  </from>
                  <to>
                    <xdr:col>25</xdr:col>
                    <xdr:colOff>257175</xdr:colOff>
                    <xdr:row>19</xdr:row>
                    <xdr:rowOff>314325</xdr:rowOff>
                  </to>
                </anchor>
              </controlPr>
            </control>
          </mc:Choice>
        </mc:AlternateContent>
        <mc:AlternateContent xmlns:mc="http://schemas.openxmlformats.org/markup-compatibility/2006">
          <mc:Choice Requires="x14">
            <control shapeId="132102" r:id="rId9" name="Option Button 1">
              <controlPr defaultSize="0" autoFill="0" autoLine="0" autoPict="0">
                <anchor moveWithCells="1">
                  <from>
                    <xdr:col>25</xdr:col>
                    <xdr:colOff>28575</xdr:colOff>
                    <xdr:row>20</xdr:row>
                    <xdr:rowOff>104775</xdr:rowOff>
                  </from>
                  <to>
                    <xdr:col>25</xdr:col>
                    <xdr:colOff>257175</xdr:colOff>
                    <xdr:row>20</xdr:row>
                    <xdr:rowOff>314325</xdr:rowOff>
                  </to>
                </anchor>
              </controlPr>
            </control>
          </mc:Choice>
        </mc:AlternateContent>
        <mc:AlternateContent xmlns:mc="http://schemas.openxmlformats.org/markup-compatibility/2006">
          <mc:Choice Requires="x14">
            <control shapeId="132104" r:id="rId10" name="Group Box 8">
              <controlPr defaultSize="0" autoFill="0" autoPict="0">
                <anchor moveWithCells="1">
                  <from>
                    <xdr:col>43</xdr:col>
                    <xdr:colOff>295275</xdr:colOff>
                    <xdr:row>20</xdr:row>
                    <xdr:rowOff>0</xdr:rowOff>
                  </from>
                  <to>
                    <xdr:col>69</xdr:col>
                    <xdr:colOff>152400</xdr:colOff>
                    <xdr:row>24</xdr:row>
                    <xdr:rowOff>9525</xdr:rowOff>
                  </to>
                </anchor>
              </controlPr>
            </control>
          </mc:Choice>
        </mc:AlternateContent>
        <mc:AlternateContent xmlns:mc="http://schemas.openxmlformats.org/markup-compatibility/2006">
          <mc:Choice Requires="x14">
            <control shapeId="132105" r:id="rId11" name="Option Button 9">
              <controlPr locked="0" defaultSize="0" autoFill="0" autoLine="0" autoPict="0">
                <anchor moveWithCells="1">
                  <from>
                    <xdr:col>46</xdr:col>
                    <xdr:colOff>238125</xdr:colOff>
                    <xdr:row>21</xdr:row>
                    <xdr:rowOff>352425</xdr:rowOff>
                  </from>
                  <to>
                    <xdr:col>47</xdr:col>
                    <xdr:colOff>247650</xdr:colOff>
                    <xdr:row>23</xdr:row>
                    <xdr:rowOff>180975</xdr:rowOff>
                  </to>
                </anchor>
              </controlPr>
            </control>
          </mc:Choice>
        </mc:AlternateContent>
        <mc:AlternateContent xmlns:mc="http://schemas.openxmlformats.org/markup-compatibility/2006">
          <mc:Choice Requires="x14">
            <control shapeId="132106" r:id="rId12" name="Option Button 10">
              <controlPr locked="0" defaultSize="0" autoFill="0" autoLine="0" autoPict="0">
                <anchor moveWithCells="1">
                  <from>
                    <xdr:col>57</xdr:col>
                    <xdr:colOff>57150</xdr:colOff>
                    <xdr:row>22</xdr:row>
                    <xdr:rowOff>47625</xdr:rowOff>
                  </from>
                  <to>
                    <xdr:col>58</xdr:col>
                    <xdr:colOff>104775</xdr:colOff>
                    <xdr:row>23</xdr:row>
                    <xdr:rowOff>123825</xdr:rowOff>
                  </to>
                </anchor>
              </controlPr>
            </control>
          </mc:Choice>
        </mc:AlternateContent>
        <mc:AlternateContent xmlns:mc="http://schemas.openxmlformats.org/markup-compatibility/2006">
          <mc:Choice Requires="x14">
            <control shapeId="132107" r:id="rId13" name="Group Box 11">
              <controlPr locked="0" defaultSize="0" autoFill="0" autoPict="0">
                <anchor moveWithCells="1">
                  <from>
                    <xdr:col>45</xdr:col>
                    <xdr:colOff>228600</xdr:colOff>
                    <xdr:row>21</xdr:row>
                    <xdr:rowOff>247650</xdr:rowOff>
                  </from>
                  <to>
                    <xdr:col>59</xdr:col>
                    <xdr:colOff>133350</xdr:colOff>
                    <xdr:row>24</xdr:row>
                    <xdr:rowOff>333375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BA140"/>
  <sheetViews>
    <sheetView view="pageBreakPreview" zoomScale="85" zoomScaleNormal="100" zoomScaleSheetLayoutView="85" workbookViewId="0">
      <selection activeCell="B19" sqref="B19:C19"/>
    </sheetView>
  </sheetViews>
  <sheetFormatPr defaultRowHeight="13.5"/>
  <cols>
    <col min="1" max="1" width="0.625" customWidth="1"/>
    <col min="2" max="19" width="3.875" customWidth="1"/>
    <col min="20" max="28" width="3.625" customWidth="1"/>
    <col min="29" max="29" width="19.75" hidden="1" customWidth="1"/>
    <col min="30" max="45" width="4.125" hidden="1" customWidth="1"/>
    <col min="46" max="53" width="3.625" hidden="1" customWidth="1"/>
  </cols>
  <sheetData>
    <row r="1" spans="2:34" ht="3.75" customHeight="1"/>
    <row r="2" spans="2:34" ht="30" customHeight="1">
      <c r="B2" s="361" t="s">
        <v>38</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26"/>
      <c r="AC2" s="26"/>
      <c r="AE2" s="100">
        <f>共通条件・結果!AE2</f>
        <v>1</v>
      </c>
    </row>
    <row r="3" spans="2:34" ht="20.100000000000001" customHeight="1">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E3" s="2" t="s">
        <v>271</v>
      </c>
    </row>
    <row r="4" spans="2:34" ht="20.100000000000001" customHeight="1" thickBot="1">
      <c r="B4" s="4" t="s">
        <v>36</v>
      </c>
      <c r="C4" s="2"/>
      <c r="D4" s="2"/>
      <c r="E4" s="2"/>
      <c r="F4" s="2"/>
      <c r="G4" s="2"/>
      <c r="H4" s="2"/>
      <c r="I4" s="2"/>
      <c r="J4" s="2"/>
      <c r="K4" s="2"/>
      <c r="L4" s="2"/>
      <c r="M4" s="2"/>
      <c r="N4" s="2"/>
      <c r="O4" s="2"/>
      <c r="P4" s="2"/>
      <c r="Q4" s="2"/>
      <c r="R4" s="2"/>
      <c r="S4" s="2"/>
      <c r="T4" s="20"/>
      <c r="U4" s="20"/>
      <c r="V4" s="20"/>
      <c r="W4" s="20"/>
      <c r="X4" s="2"/>
      <c r="Y4" s="2"/>
      <c r="Z4" s="2"/>
      <c r="AA4" s="2"/>
      <c r="AB4" s="2"/>
      <c r="AC4" s="2"/>
    </row>
    <row r="5" spans="2:34" ht="20.100000000000001" customHeight="1">
      <c r="B5" s="367" t="s">
        <v>6</v>
      </c>
      <c r="C5" s="178"/>
      <c r="D5" s="302" t="s">
        <v>140</v>
      </c>
      <c r="E5" s="195"/>
      <c r="F5" s="195"/>
      <c r="G5" s="249"/>
      <c r="H5" s="266" t="s">
        <v>141</v>
      </c>
      <c r="I5" s="178"/>
      <c r="J5" s="266" t="s">
        <v>101</v>
      </c>
      <c r="K5" s="178"/>
      <c r="L5" s="306" t="s">
        <v>9</v>
      </c>
      <c r="M5" s="307"/>
      <c r="N5" s="266" t="s">
        <v>142</v>
      </c>
      <c r="O5" s="178"/>
      <c r="P5" s="266" t="s">
        <v>143</v>
      </c>
      <c r="Q5" s="178"/>
      <c r="R5" s="266" t="s">
        <v>110</v>
      </c>
      <c r="S5" s="179"/>
      <c r="T5" s="21"/>
      <c r="U5" s="20"/>
      <c r="V5" s="20"/>
      <c r="W5" s="20"/>
      <c r="AD5" s="2" t="s">
        <v>57</v>
      </c>
      <c r="AE5" s="2"/>
      <c r="AG5" s="2" t="s">
        <v>12</v>
      </c>
      <c r="AH5" s="2"/>
    </row>
    <row r="6" spans="2:34" ht="20.100000000000001" customHeight="1">
      <c r="B6" s="368"/>
      <c r="C6" s="267"/>
      <c r="D6" s="303"/>
      <c r="E6" s="304"/>
      <c r="F6" s="304"/>
      <c r="G6" s="305"/>
      <c r="H6" s="269"/>
      <c r="I6" s="267"/>
      <c r="J6" s="269"/>
      <c r="K6" s="267"/>
      <c r="L6" s="308"/>
      <c r="M6" s="309"/>
      <c r="N6" s="269"/>
      <c r="O6" s="267"/>
      <c r="P6" s="269"/>
      <c r="Q6" s="267"/>
      <c r="R6" s="267"/>
      <c r="S6" s="272"/>
      <c r="T6" s="21"/>
      <c r="U6" s="20"/>
      <c r="V6" s="20"/>
      <c r="W6" s="20"/>
      <c r="AD6" s="2"/>
      <c r="AE6" s="2"/>
      <c r="AG6" s="2"/>
      <c r="AH6" s="2"/>
    </row>
    <row r="7" spans="2:34" ht="20.100000000000001" customHeight="1" thickBot="1">
      <c r="B7" s="369"/>
      <c r="C7" s="268"/>
      <c r="D7" s="311" t="s">
        <v>8</v>
      </c>
      <c r="E7" s="312"/>
      <c r="F7" s="313" t="s">
        <v>7</v>
      </c>
      <c r="G7" s="268"/>
      <c r="H7" s="268"/>
      <c r="I7" s="268"/>
      <c r="J7" s="268"/>
      <c r="K7" s="268"/>
      <c r="L7" s="310"/>
      <c r="M7" s="310"/>
      <c r="N7" s="268"/>
      <c r="O7" s="268"/>
      <c r="P7" s="268"/>
      <c r="Q7" s="268"/>
      <c r="R7" s="268"/>
      <c r="S7" s="273"/>
      <c r="T7" s="22"/>
      <c r="U7" s="23"/>
      <c r="V7" s="23"/>
      <c r="W7" s="23"/>
      <c r="AD7" s="2" t="s">
        <v>55</v>
      </c>
      <c r="AE7" s="2" t="s">
        <v>53</v>
      </c>
      <c r="AG7" s="2" t="s">
        <v>4</v>
      </c>
      <c r="AH7" s="2" t="s">
        <v>16</v>
      </c>
    </row>
    <row r="8" spans="2:34" ht="20.100000000000001" customHeight="1">
      <c r="B8" s="372"/>
      <c r="C8" s="373"/>
      <c r="D8" s="291"/>
      <c r="E8" s="292"/>
      <c r="F8" s="292"/>
      <c r="G8" s="293"/>
      <c r="H8" s="245"/>
      <c r="I8" s="245"/>
      <c r="J8" s="245"/>
      <c r="K8" s="245"/>
      <c r="L8" s="317" t="s">
        <v>44</v>
      </c>
      <c r="M8" s="317"/>
      <c r="N8" s="226" t="str">
        <f>IF(D8="","",D8*F8*J8*0.93)</f>
        <v/>
      </c>
      <c r="O8" s="226"/>
      <c r="P8" s="246" t="str">
        <f>IF(D8="","",IF(共通条件・結果!$AA$7="８地域","-",D8*F8*J8*0.51))</f>
        <v/>
      </c>
      <c r="Q8" s="246"/>
      <c r="R8" s="226" t="str">
        <f>IF(D8="","",D8*F8*AD8)</f>
        <v/>
      </c>
      <c r="S8" s="229"/>
      <c r="T8" s="27"/>
      <c r="U8" s="2"/>
      <c r="V8" s="2"/>
      <c r="W8" s="2"/>
      <c r="AD8" s="2">
        <f>IF(AE8="FALSE",H8,0.5*H8+0.5*(1/((1/H8)+AE8)))</f>
        <v>0</v>
      </c>
      <c r="AE8" s="19" t="str">
        <f>IF(D8="","FALSE",IF(L8="雨戸",0.1,IF(L8="ｼｬｯﾀｰ",0.1,IF(L8="障子",0.18))))</f>
        <v>FALSE</v>
      </c>
      <c r="AG8" s="2">
        <v>0.93</v>
      </c>
      <c r="AH8" s="2">
        <v>0.51</v>
      </c>
    </row>
    <row r="9" spans="2:34" ht="20.100000000000001" customHeight="1">
      <c r="B9" s="374"/>
      <c r="C9" s="375"/>
      <c r="D9" s="332"/>
      <c r="E9" s="333"/>
      <c r="F9" s="333"/>
      <c r="G9" s="334"/>
      <c r="H9" s="236"/>
      <c r="I9" s="236"/>
      <c r="J9" s="236"/>
      <c r="K9" s="236"/>
      <c r="L9" s="281" t="s">
        <v>44</v>
      </c>
      <c r="M9" s="281"/>
      <c r="N9" s="217" t="str">
        <f>IF(D9="","",D9*F9*J9*0.93)</f>
        <v/>
      </c>
      <c r="O9" s="217"/>
      <c r="P9" s="215" t="str">
        <f>IF(D9="","",IF(共通条件・結果!$AA$7="８地域","-",D9*F9*J9*0.51))</f>
        <v/>
      </c>
      <c r="Q9" s="216"/>
      <c r="R9" s="217" t="str">
        <f>IF(D9="","",D9*F9*AD9)</f>
        <v/>
      </c>
      <c r="S9" s="218"/>
      <c r="T9" s="28"/>
      <c r="U9" s="19"/>
      <c r="V9" s="19"/>
      <c r="W9" s="19"/>
      <c r="AD9" s="2">
        <f t="shared" ref="AD9:AD12" si="0">IF(AE9="FALSE",H9,0.5*H9+0.5*(1/((1/H9)+AE9)))</f>
        <v>0</v>
      </c>
      <c r="AE9" s="19" t="str">
        <f>IF(D9="","FALSE",IF(L9="雨戸",0.1,IF(L9="ｼｬｯﾀｰ",0.1,IF(L9="障子",0.18))))</f>
        <v>FALSE</v>
      </c>
      <c r="AG9" s="2"/>
      <c r="AH9" s="2"/>
    </row>
    <row r="10" spans="2:34" ht="20.100000000000001" customHeight="1">
      <c r="B10" s="374"/>
      <c r="C10" s="375"/>
      <c r="D10" s="332"/>
      <c r="E10" s="333"/>
      <c r="F10" s="333"/>
      <c r="G10" s="334"/>
      <c r="H10" s="236"/>
      <c r="I10" s="236"/>
      <c r="J10" s="236"/>
      <c r="K10" s="236"/>
      <c r="L10" s="281" t="s">
        <v>44</v>
      </c>
      <c r="M10" s="281"/>
      <c r="N10" s="217" t="str">
        <f>IF(D10="","",D10*F10*J10*0.93)</f>
        <v/>
      </c>
      <c r="O10" s="217"/>
      <c r="P10" s="215" t="str">
        <f>IF(D10="","",IF(共通条件・結果!$AA$7="８地域","-",D10*F10*J10*0.51))</f>
        <v/>
      </c>
      <c r="Q10" s="216"/>
      <c r="R10" s="217" t="str">
        <f>IF(D10="","",D10*F10*AD10)</f>
        <v/>
      </c>
      <c r="S10" s="218"/>
      <c r="T10" s="28"/>
      <c r="U10" s="19"/>
      <c r="V10" s="19"/>
      <c r="W10" s="19"/>
      <c r="AD10" s="2">
        <f t="shared" si="0"/>
        <v>0</v>
      </c>
      <c r="AE10" s="19" t="str">
        <f>IF(D10="","FALSE",IF(L10="雨戸",0.1,IF(L10="ｼｬｯﾀｰ",0.1,IF(L10="障子",0.18))))</f>
        <v>FALSE</v>
      </c>
      <c r="AG10" s="2"/>
      <c r="AH10" s="2"/>
    </row>
    <row r="11" spans="2:34" ht="20.100000000000001" customHeight="1">
      <c r="B11" s="374"/>
      <c r="C11" s="375"/>
      <c r="D11" s="332"/>
      <c r="E11" s="333"/>
      <c r="F11" s="333"/>
      <c r="G11" s="334"/>
      <c r="H11" s="236"/>
      <c r="I11" s="236"/>
      <c r="J11" s="236"/>
      <c r="K11" s="236"/>
      <c r="L11" s="281" t="s">
        <v>44</v>
      </c>
      <c r="M11" s="281"/>
      <c r="N11" s="217" t="str">
        <f>IF(D11="","",D11*F11*J11*0.93)</f>
        <v/>
      </c>
      <c r="O11" s="217"/>
      <c r="P11" s="215" t="str">
        <f>IF(D11="","",IF(共通条件・結果!$AA$7="８地域","-",D11*F11*J11*0.51))</f>
        <v/>
      </c>
      <c r="Q11" s="216"/>
      <c r="R11" s="217" t="str">
        <f>IF(D11="","",D11*F11*AD11)</f>
        <v/>
      </c>
      <c r="S11" s="218"/>
      <c r="T11" s="27"/>
      <c r="U11" s="2"/>
      <c r="V11" s="2"/>
      <c r="W11" s="2"/>
      <c r="AD11" s="2">
        <f t="shared" si="0"/>
        <v>0</v>
      </c>
      <c r="AE11" s="19" t="str">
        <f>IF(D11="","FALSE",IF(L11="雨戸",0.1,IF(L11="ｼｬｯﾀｰ",0.1,IF(L11="障子",0.18))))</f>
        <v>FALSE</v>
      </c>
      <c r="AG11" s="2"/>
      <c r="AH11" s="2"/>
    </row>
    <row r="12" spans="2:34" ht="20.100000000000001" customHeight="1" thickBot="1">
      <c r="B12" s="376"/>
      <c r="C12" s="377"/>
      <c r="D12" s="332"/>
      <c r="E12" s="333"/>
      <c r="F12" s="333"/>
      <c r="G12" s="334"/>
      <c r="H12" s="236"/>
      <c r="I12" s="236"/>
      <c r="J12" s="236"/>
      <c r="K12" s="236"/>
      <c r="L12" s="317"/>
      <c r="M12" s="317"/>
      <c r="N12" s="226" t="str">
        <f>IF(D12="","",D12*F12*J12*0.93)</f>
        <v/>
      </c>
      <c r="O12" s="226"/>
      <c r="P12" s="215" t="str">
        <f>IF(D12="","",IF(共通条件・結果!$AA$7="８地域","-",D12*F12*J12*0.51))</f>
        <v/>
      </c>
      <c r="Q12" s="216"/>
      <c r="R12" s="217" t="str">
        <f>IF(D12="","",D12*F12*AD12)</f>
        <v/>
      </c>
      <c r="S12" s="218"/>
      <c r="T12" s="27"/>
      <c r="U12" s="2"/>
      <c r="V12" s="2"/>
      <c r="W12" s="2"/>
      <c r="AD12" s="2">
        <f t="shared" si="0"/>
        <v>0</v>
      </c>
      <c r="AE12" s="19" t="str">
        <f>IF(D12="","FALSE",IF(L12="雨戸",0.1,IF(L12="ｼｬｯﾀｰ",0.1,IF(L12="障子",0.18))))</f>
        <v>FALSE</v>
      </c>
      <c r="AG12" s="2"/>
      <c r="AH12" s="2"/>
    </row>
    <row r="13" spans="2:34" ht="20.100000000000001" customHeight="1" thickBot="1">
      <c r="B13" s="378" t="s">
        <v>74</v>
      </c>
      <c r="C13" s="379"/>
      <c r="D13" s="379"/>
      <c r="E13" s="379"/>
      <c r="F13" s="379"/>
      <c r="G13" s="379"/>
      <c r="H13" s="379"/>
      <c r="I13" s="379"/>
      <c r="J13" s="379"/>
      <c r="K13" s="379"/>
      <c r="L13" s="379"/>
      <c r="M13" s="380"/>
      <c r="N13" s="202">
        <f>SUM(N8:O12)</f>
        <v>0</v>
      </c>
      <c r="O13" s="202"/>
      <c r="P13" s="202">
        <f>IF(共通条件・結果!AA7="８地域","-",SUM(P8:Q12))</f>
        <v>0</v>
      </c>
      <c r="Q13" s="202"/>
      <c r="R13" s="202">
        <f>SUM(R8:S12)</f>
        <v>0</v>
      </c>
      <c r="S13" s="203"/>
      <c r="T13" s="29"/>
      <c r="U13" s="4"/>
      <c r="V13" s="4"/>
      <c r="W13" s="4"/>
      <c r="AD13" s="2"/>
      <c r="AE13" s="19"/>
    </row>
    <row r="14" spans="2:34" ht="20.100000000000001" customHeigh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19"/>
    </row>
    <row r="15" spans="2:34" ht="20.100000000000001" customHeight="1" thickBot="1">
      <c r="B15" s="4" t="s">
        <v>39</v>
      </c>
      <c r="C15" s="2"/>
      <c r="D15" s="2"/>
      <c r="E15" s="2"/>
      <c r="F15" s="2"/>
      <c r="G15" s="2"/>
      <c r="H15" s="2"/>
      <c r="I15" s="2"/>
      <c r="J15" s="2"/>
      <c r="K15" s="2"/>
      <c r="L15" s="2"/>
      <c r="M15" s="2"/>
      <c r="N15" s="2"/>
      <c r="O15" s="2"/>
      <c r="P15" s="2"/>
      <c r="Q15" s="2"/>
      <c r="R15" s="2"/>
      <c r="S15" s="2"/>
      <c r="T15" s="2"/>
      <c r="U15" s="2"/>
      <c r="V15" s="2"/>
      <c r="W15" s="2"/>
      <c r="X15" s="2"/>
      <c r="Y15" s="2"/>
      <c r="Z15" s="2"/>
      <c r="AA15" s="2"/>
      <c r="AB15" s="2"/>
      <c r="AC15" s="2"/>
    </row>
    <row r="16" spans="2:34" ht="20.100000000000001" customHeight="1">
      <c r="B16" s="381" t="s">
        <v>0</v>
      </c>
      <c r="C16" s="382"/>
      <c r="D16" s="266" t="s">
        <v>43</v>
      </c>
      <c r="E16" s="178"/>
      <c r="F16" s="266" t="s">
        <v>149</v>
      </c>
      <c r="G16" s="178"/>
      <c r="H16" s="266" t="s">
        <v>147</v>
      </c>
      <c r="I16" s="178"/>
      <c r="J16" s="306" t="s">
        <v>150</v>
      </c>
      <c r="K16" s="307"/>
      <c r="L16" s="254" t="s">
        <v>141</v>
      </c>
      <c r="M16" s="249"/>
      <c r="N16" s="254" t="s">
        <v>59</v>
      </c>
      <c r="O16" s="249"/>
      <c r="P16" s="266" t="s">
        <v>145</v>
      </c>
      <c r="Q16" s="178"/>
      <c r="R16" s="266" t="s">
        <v>143</v>
      </c>
      <c r="S16" s="178"/>
      <c r="T16" s="266" t="s">
        <v>110</v>
      </c>
      <c r="U16" s="179"/>
    </row>
    <row r="17" spans="2:30" ht="20.100000000000001" customHeight="1">
      <c r="B17" s="383"/>
      <c r="C17" s="384"/>
      <c r="D17" s="269"/>
      <c r="E17" s="267"/>
      <c r="F17" s="269"/>
      <c r="G17" s="267"/>
      <c r="H17" s="269"/>
      <c r="I17" s="267"/>
      <c r="J17" s="308"/>
      <c r="K17" s="309"/>
      <c r="L17" s="298"/>
      <c r="M17" s="251"/>
      <c r="N17" s="298"/>
      <c r="O17" s="251"/>
      <c r="P17" s="269"/>
      <c r="Q17" s="267"/>
      <c r="R17" s="269"/>
      <c r="S17" s="267"/>
      <c r="T17" s="267"/>
      <c r="U17" s="272"/>
    </row>
    <row r="18" spans="2:30" ht="20.100000000000001" customHeight="1" thickBot="1">
      <c r="B18" s="385"/>
      <c r="C18" s="386"/>
      <c r="D18" s="268"/>
      <c r="E18" s="268"/>
      <c r="F18" s="268"/>
      <c r="G18" s="268"/>
      <c r="H18" s="268"/>
      <c r="I18" s="268"/>
      <c r="J18" s="310"/>
      <c r="K18" s="310"/>
      <c r="L18" s="300"/>
      <c r="M18" s="253"/>
      <c r="N18" s="300"/>
      <c r="O18" s="253"/>
      <c r="P18" s="268"/>
      <c r="Q18" s="268"/>
      <c r="R18" s="268"/>
      <c r="S18" s="268"/>
      <c r="T18" s="268"/>
      <c r="U18" s="273"/>
      <c r="AD18" s="1"/>
    </row>
    <row r="19" spans="2:30" ht="20.100000000000001" customHeight="1">
      <c r="B19" s="372"/>
      <c r="C19" s="387"/>
      <c r="D19" s="388"/>
      <c r="E19" s="389"/>
      <c r="F19" s="241"/>
      <c r="G19" s="242"/>
      <c r="H19" s="241"/>
      <c r="I19" s="242"/>
      <c r="J19" s="390" t="str">
        <f>IF(F19="","",F19-H19)</f>
        <v/>
      </c>
      <c r="K19" s="391"/>
      <c r="L19" s="388"/>
      <c r="M19" s="389"/>
      <c r="N19" s="394"/>
      <c r="O19" s="395"/>
      <c r="P19" s="392" t="str">
        <f t="shared" ref="P19:P26" si="1">IF($D19="","",IF(OR($D19="外気床",$D19="その他床"),0,IF(OR($D19="屋根",$D19="天井"),J19*L19*0.034)))</f>
        <v/>
      </c>
      <c r="Q19" s="393"/>
      <c r="R19" s="390" t="str">
        <f>IF(D19="","",IF(共通条件・結果!$AA$7="８地域","-",IF($D19="　","",IF(OR($D19="外気床",$D19="その他床"),0,IF(OR($D19="屋根",$D19="天井"),J19*L19*0.034)))))</f>
        <v/>
      </c>
      <c r="S19" s="391"/>
      <c r="T19" s="344" t="str">
        <f t="shared" ref="T19:T26" si="2">IF(F19="","",J19*L19*N19)</f>
        <v/>
      </c>
      <c r="U19" s="371"/>
      <c r="AD19" s="24"/>
    </row>
    <row r="20" spans="2:30" ht="20.100000000000001" customHeight="1">
      <c r="B20" s="374"/>
      <c r="C20" s="396"/>
      <c r="D20" s="232"/>
      <c r="E20" s="233"/>
      <c r="F20" s="232"/>
      <c r="G20" s="233"/>
      <c r="H20" s="232"/>
      <c r="I20" s="233"/>
      <c r="J20" s="215" t="str">
        <f t="shared" ref="J20:J26" si="3">IF(F20="","",F20-H20)</f>
        <v/>
      </c>
      <c r="K20" s="216"/>
      <c r="L20" s="232"/>
      <c r="M20" s="233"/>
      <c r="N20" s="397"/>
      <c r="O20" s="398"/>
      <c r="P20" s="215" t="str">
        <f t="shared" si="1"/>
        <v/>
      </c>
      <c r="Q20" s="216"/>
      <c r="R20" s="215" t="str">
        <f>IF(D20="","",IF(共通条件・結果!$AA$7="８地域","-",IF($D20="　","",IF(OR($D20="外気床",$D20="その他床"),0,IF(OR($D20="屋根",$D20="天井"),J20*L20*0.034)))))</f>
        <v/>
      </c>
      <c r="S20" s="216"/>
      <c r="T20" s="217" t="str">
        <f t="shared" si="2"/>
        <v/>
      </c>
      <c r="U20" s="218"/>
      <c r="AD20" s="24"/>
    </row>
    <row r="21" spans="2:30" ht="20.100000000000001" customHeight="1">
      <c r="B21" s="374"/>
      <c r="C21" s="396"/>
      <c r="D21" s="232"/>
      <c r="E21" s="233"/>
      <c r="F21" s="232"/>
      <c r="G21" s="233"/>
      <c r="H21" s="232"/>
      <c r="I21" s="233"/>
      <c r="J21" s="215" t="str">
        <f t="shared" si="3"/>
        <v/>
      </c>
      <c r="K21" s="216"/>
      <c r="L21" s="232"/>
      <c r="M21" s="233"/>
      <c r="N21" s="397"/>
      <c r="O21" s="398"/>
      <c r="P21" s="215" t="str">
        <f t="shared" si="1"/>
        <v/>
      </c>
      <c r="Q21" s="216"/>
      <c r="R21" s="215" t="str">
        <f>IF(D21="","",IF(共通条件・結果!$AA$7="８地域","-",IF($D21="　","",IF(OR($D21="外気床",$D21="その他床"),0,IF(OR($D21="屋根",$D21="天井"),J21*L21*0.034)))))</f>
        <v/>
      </c>
      <c r="S21" s="216"/>
      <c r="T21" s="217" t="str">
        <f t="shared" si="2"/>
        <v/>
      </c>
      <c r="U21" s="218"/>
      <c r="AD21" s="25"/>
    </row>
    <row r="22" spans="2:30" ht="20.100000000000001" customHeight="1">
      <c r="B22" s="374"/>
      <c r="C22" s="396"/>
      <c r="D22" s="232"/>
      <c r="E22" s="233"/>
      <c r="F22" s="232"/>
      <c r="G22" s="233"/>
      <c r="H22" s="232"/>
      <c r="I22" s="233"/>
      <c r="J22" s="215" t="str">
        <f t="shared" si="3"/>
        <v/>
      </c>
      <c r="K22" s="216"/>
      <c r="L22" s="232"/>
      <c r="M22" s="233"/>
      <c r="N22" s="397"/>
      <c r="O22" s="398"/>
      <c r="P22" s="215" t="str">
        <f t="shared" si="1"/>
        <v/>
      </c>
      <c r="Q22" s="216"/>
      <c r="R22" s="215" t="str">
        <f>IF(D22="","",IF(共通条件・結果!$AA$7="８地域","-",IF($D22="　","",IF(OR($D22="外気床",$D22="その他床"),0,IF(OR($D22="屋根",$D22="天井"),J22*L22*0.034)))))</f>
        <v/>
      </c>
      <c r="S22" s="216"/>
      <c r="T22" s="217" t="str">
        <f t="shared" si="2"/>
        <v/>
      </c>
      <c r="U22" s="218"/>
      <c r="AD22" s="25"/>
    </row>
    <row r="23" spans="2:30" ht="20.100000000000001" customHeight="1">
      <c r="B23" s="374"/>
      <c r="C23" s="396"/>
      <c r="D23" s="232"/>
      <c r="E23" s="233"/>
      <c r="F23" s="232"/>
      <c r="G23" s="233"/>
      <c r="H23" s="232"/>
      <c r="I23" s="233"/>
      <c r="J23" s="215" t="str">
        <f t="shared" si="3"/>
        <v/>
      </c>
      <c r="K23" s="216"/>
      <c r="L23" s="232"/>
      <c r="M23" s="233"/>
      <c r="N23" s="397"/>
      <c r="O23" s="398"/>
      <c r="P23" s="215" t="str">
        <f t="shared" si="1"/>
        <v/>
      </c>
      <c r="Q23" s="216"/>
      <c r="R23" s="215" t="str">
        <f>IF(D23="","",IF(共通条件・結果!$AA$7="８地域","-",IF($D23="　","",IF(OR($D23="外気床",$D23="その他床"),0,IF(OR($D23="屋根",$D23="天井"),J23*L23*0.034)))))</f>
        <v/>
      </c>
      <c r="S23" s="216"/>
      <c r="T23" s="217" t="str">
        <f t="shared" si="2"/>
        <v/>
      </c>
      <c r="U23" s="218"/>
      <c r="AD23" s="25"/>
    </row>
    <row r="24" spans="2:30" ht="20.100000000000001" customHeight="1">
      <c r="B24" s="374"/>
      <c r="C24" s="396"/>
      <c r="D24" s="232"/>
      <c r="E24" s="233"/>
      <c r="F24" s="232"/>
      <c r="G24" s="233"/>
      <c r="H24" s="232"/>
      <c r="I24" s="233"/>
      <c r="J24" s="215" t="str">
        <f t="shared" si="3"/>
        <v/>
      </c>
      <c r="K24" s="216"/>
      <c r="L24" s="232"/>
      <c r="M24" s="233"/>
      <c r="N24" s="397"/>
      <c r="O24" s="398"/>
      <c r="P24" s="215" t="str">
        <f t="shared" si="1"/>
        <v/>
      </c>
      <c r="Q24" s="216"/>
      <c r="R24" s="215" t="str">
        <f>IF(D24="","",IF(共通条件・結果!$AA$7="８地域","-",IF($D24="　","",IF(OR($D24="外気床",$D24="その他床"),0,IF(OR($D24="屋根",$D24="天井"),J24*L24*0.034)))))</f>
        <v/>
      </c>
      <c r="S24" s="216"/>
      <c r="T24" s="217" t="str">
        <f t="shared" si="2"/>
        <v/>
      </c>
      <c r="U24" s="218"/>
      <c r="AD24" s="25"/>
    </row>
    <row r="25" spans="2:30" ht="20.100000000000001" customHeight="1">
      <c r="B25" s="374"/>
      <c r="C25" s="396"/>
      <c r="D25" s="232"/>
      <c r="E25" s="233"/>
      <c r="F25" s="232"/>
      <c r="G25" s="233"/>
      <c r="H25" s="232"/>
      <c r="I25" s="233"/>
      <c r="J25" s="215" t="str">
        <f t="shared" si="3"/>
        <v/>
      </c>
      <c r="K25" s="216"/>
      <c r="L25" s="232"/>
      <c r="M25" s="233"/>
      <c r="N25" s="397"/>
      <c r="O25" s="398"/>
      <c r="P25" s="399" t="str">
        <f t="shared" si="1"/>
        <v/>
      </c>
      <c r="Q25" s="400"/>
      <c r="R25" s="215" t="str">
        <f>IF(D25="","",IF(共通条件・結果!$AA$7="８地域","-",IF($D25="　","",IF(OR($D25="外気床",$D25="その他床"),0,IF(OR($D25="屋根",$D25="天井"),J25*L25*0.034)))))</f>
        <v/>
      </c>
      <c r="S25" s="216"/>
      <c r="T25" s="217" t="str">
        <f t="shared" si="2"/>
        <v/>
      </c>
      <c r="U25" s="218"/>
      <c r="AD25" s="25"/>
    </row>
    <row r="26" spans="2:30" ht="20.100000000000001" customHeight="1" thickBot="1">
      <c r="B26" s="407"/>
      <c r="C26" s="408"/>
      <c r="D26" s="409"/>
      <c r="E26" s="410"/>
      <c r="F26" s="411"/>
      <c r="G26" s="412"/>
      <c r="H26" s="411"/>
      <c r="I26" s="412"/>
      <c r="J26" s="399" t="str">
        <f t="shared" si="3"/>
        <v/>
      </c>
      <c r="K26" s="400"/>
      <c r="L26" s="409"/>
      <c r="M26" s="410"/>
      <c r="N26" s="413"/>
      <c r="O26" s="414"/>
      <c r="P26" s="401" t="str">
        <f t="shared" si="1"/>
        <v/>
      </c>
      <c r="Q26" s="402"/>
      <c r="R26" s="401" t="str">
        <f>IF(D26="","",IF(共通条件・結果!$AA$7="８地域","-",IF($D26="　","",IF(OR($D26="外気床",$D26="その他床"),0,IF(OR($D26="屋根",$D26="天井"),J26*L26*0.034)))))</f>
        <v/>
      </c>
      <c r="S26" s="402"/>
      <c r="T26" s="403" t="str">
        <f t="shared" si="2"/>
        <v/>
      </c>
      <c r="U26" s="404"/>
      <c r="AD26" s="25"/>
    </row>
    <row r="27" spans="2:30" ht="20.100000000000001" customHeight="1" thickBot="1">
      <c r="B27" s="200" t="s">
        <v>73</v>
      </c>
      <c r="C27" s="201"/>
      <c r="D27" s="201"/>
      <c r="E27" s="201"/>
      <c r="F27" s="201"/>
      <c r="G27" s="201"/>
      <c r="H27" s="201"/>
      <c r="I27" s="201"/>
      <c r="J27" s="201"/>
      <c r="K27" s="201"/>
      <c r="L27" s="201"/>
      <c r="M27" s="201"/>
      <c r="N27" s="201"/>
      <c r="O27" s="348"/>
      <c r="P27" s="405">
        <f>SUM(P19:Q26)</f>
        <v>0</v>
      </c>
      <c r="Q27" s="406"/>
      <c r="R27" s="405">
        <f>IF(共通条件・結果!AA7="８地域","-",SUM(R19:S26))</f>
        <v>0</v>
      </c>
      <c r="S27" s="406"/>
      <c r="T27" s="202">
        <f>SUM(T19:U26)</f>
        <v>0</v>
      </c>
      <c r="U27" s="203"/>
    </row>
    <row r="28" spans="2:30" ht="20.100000000000001" customHeight="1">
      <c r="B28" s="2" t="s">
        <v>155</v>
      </c>
      <c r="C28" s="2"/>
      <c r="D28" s="2"/>
      <c r="E28" s="2"/>
      <c r="F28" s="2"/>
      <c r="G28" s="2"/>
      <c r="H28" s="2"/>
      <c r="I28" s="2"/>
      <c r="J28" s="2"/>
      <c r="K28" s="2"/>
      <c r="L28" s="2"/>
      <c r="M28" s="2"/>
      <c r="N28" s="2"/>
      <c r="O28" s="2"/>
      <c r="P28" s="2"/>
      <c r="Q28" s="2"/>
    </row>
    <row r="29" spans="2:30" ht="20.100000000000001" customHeight="1">
      <c r="B29" s="2"/>
      <c r="C29" s="2"/>
      <c r="D29" s="2"/>
      <c r="E29" s="2"/>
      <c r="F29" s="2"/>
      <c r="G29" s="2"/>
      <c r="H29" s="2"/>
      <c r="I29" s="2"/>
      <c r="J29" s="2"/>
      <c r="K29" s="2"/>
      <c r="L29" s="2"/>
      <c r="M29" s="2"/>
      <c r="N29" s="2"/>
      <c r="O29" s="2"/>
      <c r="P29" s="2"/>
      <c r="Q29" s="2"/>
    </row>
    <row r="30" spans="2:30" ht="20.100000000000001" customHeight="1">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2:30" ht="20.100000000000001" customHeight="1" thickBot="1">
      <c r="B31" s="4" t="s">
        <v>81</v>
      </c>
      <c r="C31" s="2"/>
      <c r="D31" s="2"/>
      <c r="E31" s="2"/>
      <c r="F31" s="2"/>
      <c r="G31" s="2"/>
      <c r="H31" s="2"/>
      <c r="I31" s="2"/>
      <c r="J31" s="2"/>
      <c r="K31" s="2"/>
      <c r="L31" s="2"/>
      <c r="M31" s="2"/>
      <c r="N31" s="2"/>
      <c r="O31" s="2"/>
      <c r="P31" s="2"/>
      <c r="Q31" s="2"/>
      <c r="R31" s="2"/>
      <c r="S31" s="7"/>
      <c r="T31" s="7"/>
      <c r="U31" s="7"/>
      <c r="V31" s="7"/>
      <c r="W31" s="7"/>
      <c r="X31" s="7"/>
      <c r="Y31" s="7"/>
      <c r="Z31" s="2"/>
      <c r="AA31" s="2"/>
      <c r="AB31" s="2"/>
      <c r="AC31" s="2"/>
    </row>
    <row r="32" spans="2:30" ht="20.100000000000001" customHeight="1">
      <c r="B32" s="415" t="s">
        <v>40</v>
      </c>
      <c r="C32" s="416"/>
      <c r="D32" s="136" t="s">
        <v>37</v>
      </c>
      <c r="E32" s="137"/>
      <c r="F32" s="137"/>
      <c r="G32" s="137"/>
      <c r="H32" s="137"/>
      <c r="I32" s="137"/>
      <c r="J32" s="138"/>
      <c r="K32" s="9"/>
      <c r="L32" s="32"/>
      <c r="M32" s="32"/>
      <c r="N32" s="9"/>
      <c r="O32" s="10"/>
      <c r="P32" s="421">
        <f>T32+Y32</f>
        <v>0</v>
      </c>
      <c r="Q32" s="421"/>
      <c r="R32" s="9" t="s">
        <v>82</v>
      </c>
      <c r="S32" s="10" t="s">
        <v>41</v>
      </c>
      <c r="T32" s="422">
        <f>D8*F8+D9*F9+D10*F10+D11*F11+D12*F12</f>
        <v>0</v>
      </c>
      <c r="U32" s="422"/>
      <c r="V32" s="33" t="s">
        <v>83</v>
      </c>
      <c r="W32" s="189" t="s">
        <v>84</v>
      </c>
      <c r="X32" s="189"/>
      <c r="Y32" s="422">
        <f>SUM(J19:K26)</f>
        <v>0</v>
      </c>
      <c r="Z32" s="422"/>
      <c r="AA32" s="34" t="s">
        <v>85</v>
      </c>
      <c r="AB32" s="2"/>
      <c r="AC32" s="2"/>
    </row>
    <row r="33" spans="2:29" ht="20.100000000000001" customHeight="1">
      <c r="B33" s="417"/>
      <c r="C33" s="418"/>
      <c r="D33" s="141" t="s">
        <v>47</v>
      </c>
      <c r="E33" s="142"/>
      <c r="F33" s="142"/>
      <c r="G33" s="142"/>
      <c r="H33" s="142"/>
      <c r="I33" s="142"/>
      <c r="J33" s="143"/>
      <c r="K33" s="8"/>
      <c r="L33" s="8"/>
      <c r="M33" s="8"/>
      <c r="N33" s="8"/>
      <c r="O33" s="8"/>
      <c r="P33" s="8"/>
      <c r="Q33" s="8"/>
      <c r="R33" s="8"/>
      <c r="S33" s="8"/>
      <c r="T33" s="8"/>
      <c r="U33" s="8"/>
      <c r="V33" s="8"/>
      <c r="W33" s="197">
        <f>N13+P27</f>
        <v>0</v>
      </c>
      <c r="X33" s="197"/>
      <c r="Y33" s="197"/>
      <c r="Z33" s="198" t="s">
        <v>113</v>
      </c>
      <c r="AA33" s="199"/>
      <c r="AB33" s="2"/>
      <c r="AC33" s="2"/>
    </row>
    <row r="34" spans="2:29" ht="20.100000000000001" customHeight="1">
      <c r="B34" s="417"/>
      <c r="C34" s="418"/>
      <c r="D34" s="141" t="s">
        <v>48</v>
      </c>
      <c r="E34" s="142"/>
      <c r="F34" s="142"/>
      <c r="G34" s="142"/>
      <c r="H34" s="142"/>
      <c r="I34" s="142"/>
      <c r="J34" s="143"/>
      <c r="K34" s="8"/>
      <c r="L34" s="8"/>
      <c r="M34" s="8"/>
      <c r="N34" s="8"/>
      <c r="O34" s="8"/>
      <c r="P34" s="8"/>
      <c r="Q34" s="8"/>
      <c r="R34" s="8"/>
      <c r="S34" s="8"/>
      <c r="T34" s="8"/>
      <c r="U34" s="8"/>
      <c r="V34" s="8"/>
      <c r="W34" s="197">
        <f>IF(共通条件・結果!AA7="８地域","-",P13+R27)</f>
        <v>0</v>
      </c>
      <c r="X34" s="197"/>
      <c r="Y34" s="197"/>
      <c r="Z34" s="198" t="s">
        <v>113</v>
      </c>
      <c r="AA34" s="199"/>
      <c r="AB34" s="2"/>
      <c r="AC34" s="2"/>
    </row>
    <row r="35" spans="2:29" ht="20.100000000000001" customHeight="1" thickBot="1">
      <c r="B35" s="419"/>
      <c r="C35" s="420"/>
      <c r="D35" s="180" t="s">
        <v>18</v>
      </c>
      <c r="E35" s="181"/>
      <c r="F35" s="181"/>
      <c r="G35" s="181"/>
      <c r="H35" s="181"/>
      <c r="I35" s="181"/>
      <c r="J35" s="182"/>
      <c r="K35" s="7"/>
      <c r="L35" s="7"/>
      <c r="M35" s="7"/>
      <c r="N35" s="7"/>
      <c r="O35" s="7"/>
      <c r="P35" s="7"/>
      <c r="Q35" s="7"/>
      <c r="R35" s="7"/>
      <c r="S35" s="7"/>
      <c r="T35" s="7"/>
      <c r="U35" s="7"/>
      <c r="V35" s="7"/>
      <c r="W35" s="237">
        <f>R13+T27</f>
        <v>0</v>
      </c>
      <c r="X35" s="237"/>
      <c r="Y35" s="237"/>
      <c r="Z35" s="35" t="s">
        <v>86</v>
      </c>
      <c r="AA35" s="36"/>
      <c r="AB35" s="2"/>
      <c r="AC35" s="2"/>
    </row>
    <row r="36" spans="2:29" ht="20.100000000000001" customHeight="1"/>
    <row r="37" spans="2:29" ht="20.100000000000001" customHeight="1"/>
    <row r="38" spans="2:29" ht="20.100000000000001" customHeight="1"/>
    <row r="39" spans="2:29" ht="20.100000000000001" customHeight="1"/>
    <row r="40" spans="2:29" ht="20.100000000000001" customHeight="1"/>
    <row r="41" spans="2:29" ht="20.100000000000001" customHeight="1"/>
    <row r="42" spans="2:29" ht="20.100000000000001" customHeight="1"/>
    <row r="43" spans="2:29" ht="20.100000000000001" customHeight="1"/>
    <row r="44" spans="2:29" ht="20.100000000000001" customHeight="1"/>
    <row r="45" spans="2:29" ht="20.100000000000001" customHeight="1"/>
    <row r="46" spans="2:29" ht="20.100000000000001" customHeight="1"/>
    <row r="47" spans="2:29" ht="20.100000000000001" customHeight="1"/>
    <row r="48" spans="2:29"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sheetData>
  <sheetProtection algorithmName="SHA-512" hashValue="AvLBueyLVa4CUqSm2l2Wl3y3ArmyqEoKshS9H+vIB4QUR8rFRzaO6QFGMjbu/bO4ZeFhmzL+alKscVVqhhZhqw==" saltValue="4/hwKwC4yYQ13gOM6CviIw==" spinCount="100000" sheet="1" selectLockedCells="1"/>
  <mergeCells count="168">
    <mergeCell ref="D35:J35"/>
    <mergeCell ref="W35:Y35"/>
    <mergeCell ref="B32:C35"/>
    <mergeCell ref="D32:J32"/>
    <mergeCell ref="P32:Q32"/>
    <mergeCell ref="T32:U32"/>
    <mergeCell ref="W32:X32"/>
    <mergeCell ref="Y32:Z32"/>
    <mergeCell ref="D33:J33"/>
    <mergeCell ref="W33:Y33"/>
    <mergeCell ref="D34:J34"/>
    <mergeCell ref="W34:Y34"/>
    <mergeCell ref="Z33:AA33"/>
    <mergeCell ref="Z34:AA34"/>
    <mergeCell ref="P26:Q26"/>
    <mergeCell ref="R26:S26"/>
    <mergeCell ref="T26:U26"/>
    <mergeCell ref="P27:Q27"/>
    <mergeCell ref="R27:S27"/>
    <mergeCell ref="T27:U27"/>
    <mergeCell ref="B26:C26"/>
    <mergeCell ref="D26:E26"/>
    <mergeCell ref="F26:G26"/>
    <mergeCell ref="H26:I26"/>
    <mergeCell ref="J26:K26"/>
    <mergeCell ref="L26:M26"/>
    <mergeCell ref="N26:O26"/>
    <mergeCell ref="B27:O27"/>
    <mergeCell ref="T24:U24"/>
    <mergeCell ref="P25:Q25"/>
    <mergeCell ref="R25:S25"/>
    <mergeCell ref="T25:U25"/>
    <mergeCell ref="B24:C24"/>
    <mergeCell ref="D24:E24"/>
    <mergeCell ref="F24:G24"/>
    <mergeCell ref="H24:I24"/>
    <mergeCell ref="J24:K24"/>
    <mergeCell ref="L24:M24"/>
    <mergeCell ref="P24:Q24"/>
    <mergeCell ref="R24:S24"/>
    <mergeCell ref="B25:C25"/>
    <mergeCell ref="D25:E25"/>
    <mergeCell ref="F25:G25"/>
    <mergeCell ref="H25:I25"/>
    <mergeCell ref="J25:K25"/>
    <mergeCell ref="L25:M25"/>
    <mergeCell ref="N24:O24"/>
    <mergeCell ref="N25:O25"/>
    <mergeCell ref="B23:C23"/>
    <mergeCell ref="D23:E23"/>
    <mergeCell ref="F23:G23"/>
    <mergeCell ref="H23:I23"/>
    <mergeCell ref="J23:K23"/>
    <mergeCell ref="L23:M23"/>
    <mergeCell ref="P23:Q23"/>
    <mergeCell ref="R23:S23"/>
    <mergeCell ref="T23:U23"/>
    <mergeCell ref="N23:O23"/>
    <mergeCell ref="B22:C22"/>
    <mergeCell ref="D22:E22"/>
    <mergeCell ref="F22:G22"/>
    <mergeCell ref="H22:I22"/>
    <mergeCell ref="J22:K22"/>
    <mergeCell ref="L22:M22"/>
    <mergeCell ref="P22:Q22"/>
    <mergeCell ref="R22:S22"/>
    <mergeCell ref="T22:U22"/>
    <mergeCell ref="N22:O22"/>
    <mergeCell ref="B21:C21"/>
    <mergeCell ref="D21:E21"/>
    <mergeCell ref="F21:G21"/>
    <mergeCell ref="H21:I21"/>
    <mergeCell ref="J21:K21"/>
    <mergeCell ref="L21:M21"/>
    <mergeCell ref="P21:Q21"/>
    <mergeCell ref="R21:S21"/>
    <mergeCell ref="T21:U21"/>
    <mergeCell ref="N21:O21"/>
    <mergeCell ref="B20:C20"/>
    <mergeCell ref="D20:E20"/>
    <mergeCell ref="F20:G20"/>
    <mergeCell ref="H20:I20"/>
    <mergeCell ref="J20:K20"/>
    <mergeCell ref="L20:M20"/>
    <mergeCell ref="P20:Q20"/>
    <mergeCell ref="R20:S20"/>
    <mergeCell ref="T20:U20"/>
    <mergeCell ref="N20:O20"/>
    <mergeCell ref="B19:C19"/>
    <mergeCell ref="D19:E19"/>
    <mergeCell ref="F19:G19"/>
    <mergeCell ref="H19:I19"/>
    <mergeCell ref="J19:K19"/>
    <mergeCell ref="L19:M19"/>
    <mergeCell ref="P19:Q19"/>
    <mergeCell ref="R19:S19"/>
    <mergeCell ref="T19:U19"/>
    <mergeCell ref="N19:O19"/>
    <mergeCell ref="T16:U18"/>
    <mergeCell ref="N16:O18"/>
    <mergeCell ref="B12:C12"/>
    <mergeCell ref="D12:E12"/>
    <mergeCell ref="F12:G12"/>
    <mergeCell ref="H12:I12"/>
    <mergeCell ref="J12:K12"/>
    <mergeCell ref="L12:M12"/>
    <mergeCell ref="N12:O12"/>
    <mergeCell ref="P12:Q12"/>
    <mergeCell ref="R12:S12"/>
    <mergeCell ref="B13:M13"/>
    <mergeCell ref="N13:O13"/>
    <mergeCell ref="P13:Q13"/>
    <mergeCell ref="R13:S13"/>
    <mergeCell ref="B16:C18"/>
    <mergeCell ref="D16:E18"/>
    <mergeCell ref="F16:G18"/>
    <mergeCell ref="H16:I18"/>
    <mergeCell ref="J16:K18"/>
    <mergeCell ref="L16:M18"/>
    <mergeCell ref="P16:Q18"/>
    <mergeCell ref="R16:S18"/>
    <mergeCell ref="B11:C11"/>
    <mergeCell ref="D11:E11"/>
    <mergeCell ref="F11:G11"/>
    <mergeCell ref="H11:I11"/>
    <mergeCell ref="J11:K11"/>
    <mergeCell ref="L11:M11"/>
    <mergeCell ref="N11:O11"/>
    <mergeCell ref="P11:Q11"/>
    <mergeCell ref="R11:S11"/>
    <mergeCell ref="B10:C10"/>
    <mergeCell ref="D10:E10"/>
    <mergeCell ref="F10:G10"/>
    <mergeCell ref="H10:I10"/>
    <mergeCell ref="J10:K10"/>
    <mergeCell ref="L10:M10"/>
    <mergeCell ref="N10:O10"/>
    <mergeCell ref="P10:Q10"/>
    <mergeCell ref="R10:S10"/>
    <mergeCell ref="B9:C9"/>
    <mergeCell ref="D9:E9"/>
    <mergeCell ref="F9:G9"/>
    <mergeCell ref="H9:I9"/>
    <mergeCell ref="J9:K9"/>
    <mergeCell ref="L9:M9"/>
    <mergeCell ref="N9:O9"/>
    <mergeCell ref="P9:Q9"/>
    <mergeCell ref="R9:S9"/>
    <mergeCell ref="B8:C8"/>
    <mergeCell ref="D8:E8"/>
    <mergeCell ref="F8:G8"/>
    <mergeCell ref="H8:I8"/>
    <mergeCell ref="J8:K8"/>
    <mergeCell ref="L8:M8"/>
    <mergeCell ref="N8:O8"/>
    <mergeCell ref="P8:Q8"/>
    <mergeCell ref="R8:S8"/>
    <mergeCell ref="B2:AA2"/>
    <mergeCell ref="B5:C7"/>
    <mergeCell ref="H5:I7"/>
    <mergeCell ref="J5:K7"/>
    <mergeCell ref="L5:M7"/>
    <mergeCell ref="N5:O7"/>
    <mergeCell ref="P5:Q7"/>
    <mergeCell ref="R5:S7"/>
    <mergeCell ref="D7:E7"/>
    <mergeCell ref="F7:G7"/>
    <mergeCell ref="D5:G6"/>
  </mergeCells>
  <phoneticPr fontId="4"/>
  <conditionalFormatting sqref="B19:I26">
    <cfRule type="expression" dxfId="22" priority="61" stopIfTrue="1">
      <formula>$AE$2&lt;&gt;2</formula>
    </cfRule>
  </conditionalFormatting>
  <conditionalFormatting sqref="B8:M12">
    <cfRule type="expression" dxfId="21" priority="153" stopIfTrue="1">
      <formula>$AE$2&lt;&gt;2</formula>
    </cfRule>
  </conditionalFormatting>
  <conditionalFormatting sqref="J19:K26">
    <cfRule type="expression" dxfId="20" priority="13">
      <formula>$AE$2&lt;&gt;2</formula>
    </cfRule>
  </conditionalFormatting>
  <conditionalFormatting sqref="L19:O26">
    <cfRule type="expression" dxfId="19" priority="57" stopIfTrue="1">
      <formula>$AE$2&lt;&gt;2</formula>
    </cfRule>
  </conditionalFormatting>
  <conditionalFormatting sqref="N8:S12">
    <cfRule type="expression" dxfId="18" priority="42">
      <formula>$AE$2&lt;&gt;2</formula>
    </cfRule>
  </conditionalFormatting>
  <conditionalFormatting sqref="P32:Q32">
    <cfRule type="expression" dxfId="17" priority="6">
      <formula>$AE$2&lt;&gt;2</formula>
    </cfRule>
  </conditionalFormatting>
  <conditionalFormatting sqref="P19:U27">
    <cfRule type="expression" dxfId="16" priority="7">
      <formula>$AE$2&lt;&gt;2</formula>
    </cfRule>
  </conditionalFormatting>
  <conditionalFormatting sqref="T32:U32">
    <cfRule type="expression" dxfId="15" priority="5">
      <formula>$AE$2&lt;&gt;2</formula>
    </cfRule>
  </conditionalFormatting>
  <conditionalFormatting sqref="W33:Y35">
    <cfRule type="expression" dxfId="14" priority="1">
      <formula>$AE$2&lt;&gt;2</formula>
    </cfRule>
  </conditionalFormatting>
  <conditionalFormatting sqref="Y32:Z32">
    <cfRule type="expression" dxfId="13" priority="4">
      <formula>$AE$2&lt;&gt;2</formula>
    </cfRule>
  </conditionalFormatting>
  <dataValidations count="3">
    <dataValidation type="list" allowBlank="1" showInputMessage="1" showErrorMessage="1" sqref="L8:M12" xr:uid="{00000000-0002-0000-0900-000000000000}">
      <formula1>"　,雨戸,ｼｬｯﾀｰ,障子"</formula1>
    </dataValidation>
    <dataValidation type="list" allowBlank="1" showInputMessage="1" showErrorMessage="1" sqref="D19:E26" xr:uid="{00000000-0002-0000-0900-000001000000}">
      <formula1>"屋根,天井,外気床,その他床"</formula1>
    </dataValidation>
    <dataValidation type="list" allowBlank="1" showInputMessage="1" showErrorMessage="1" sqref="N19:O26" xr:uid="{00000000-0002-0000-0900-000002000000}">
      <formula1>"　,1.0,0.7"</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99FF"/>
  </sheetPr>
  <dimension ref="B1:BD159"/>
  <sheetViews>
    <sheetView view="pageBreakPreview" zoomScale="70" zoomScaleNormal="100" zoomScaleSheetLayoutView="70" workbookViewId="0">
      <selection activeCell="B35" sqref="B35:D35"/>
    </sheetView>
  </sheetViews>
  <sheetFormatPr defaultRowHeight="13.5"/>
  <cols>
    <col min="1" max="1" width="0.75" customWidth="1"/>
    <col min="2" max="3" width="4.125" customWidth="1"/>
    <col min="4" max="29" width="3.625" customWidth="1"/>
    <col min="30" max="30" width="4.125" customWidth="1"/>
    <col min="31" max="32" width="4.125" style="30" hidden="1" customWidth="1"/>
    <col min="33" max="33" width="8" style="30" hidden="1" customWidth="1"/>
    <col min="34" max="42" width="4.125" style="30" hidden="1" customWidth="1"/>
    <col min="43" max="45" width="4.125" style="30" customWidth="1"/>
    <col min="46" max="54" width="3.625" style="30" customWidth="1"/>
    <col min="55" max="56" width="9" style="30"/>
  </cols>
  <sheetData>
    <row r="1" spans="2:56" ht="3.75" customHeight="1"/>
    <row r="2" spans="2:56" ht="30" customHeight="1">
      <c r="B2" s="361" t="s">
        <v>151</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E2" s="83">
        <f>共通条件・結果!AE2</f>
        <v>1</v>
      </c>
      <c r="AG2" s="57" t="s">
        <v>238</v>
      </c>
    </row>
    <row r="3" spans="2:56" s="3" customFormat="1" ht="27" customHeight="1">
      <c r="B3" s="64" t="s">
        <v>239</v>
      </c>
      <c r="J3" s="65"/>
      <c r="K3" s="432" t="s">
        <v>240</v>
      </c>
      <c r="L3" s="433"/>
      <c r="M3" s="433"/>
      <c r="N3" s="434"/>
      <c r="O3" s="66"/>
      <c r="P3" s="432" t="s">
        <v>241</v>
      </c>
      <c r="Q3" s="433"/>
      <c r="R3" s="433"/>
      <c r="S3" s="434"/>
      <c r="AE3" s="2" t="s">
        <v>271</v>
      </c>
      <c r="AF3" s="19"/>
      <c r="AG3" s="67">
        <v>2</v>
      </c>
      <c r="AH3" s="19"/>
      <c r="AI3" s="19"/>
      <c r="AJ3" s="19"/>
      <c r="AK3" s="19"/>
      <c r="AL3" s="19"/>
      <c r="AM3" s="19"/>
      <c r="AN3" s="19"/>
      <c r="AO3" s="19"/>
      <c r="AP3" s="19"/>
      <c r="AQ3" s="19"/>
      <c r="AR3" s="19"/>
      <c r="AS3" s="19"/>
      <c r="AT3" s="19"/>
      <c r="AU3" s="19"/>
      <c r="AV3" s="19"/>
      <c r="AW3" s="19"/>
      <c r="AX3" s="19"/>
      <c r="AY3" s="19"/>
      <c r="AZ3" s="19"/>
      <c r="BA3" s="19"/>
      <c r="BB3" s="19"/>
      <c r="BC3" s="19"/>
      <c r="BD3" s="19"/>
    </row>
    <row r="4" spans="2:56" s="3" customFormat="1" ht="20.100000000000001" customHeight="1" thickBot="1">
      <c r="B4" s="4" t="s">
        <v>264</v>
      </c>
      <c r="C4" s="2"/>
      <c r="D4" s="2"/>
      <c r="E4" s="2"/>
      <c r="F4" s="2"/>
      <c r="G4" s="2"/>
      <c r="H4" s="2"/>
      <c r="I4" s="2"/>
      <c r="J4" s="68"/>
      <c r="K4" s="68"/>
      <c r="L4" s="68"/>
      <c r="M4" s="68"/>
      <c r="N4" s="68"/>
      <c r="O4" s="68"/>
      <c r="P4" s="68"/>
      <c r="Q4" s="68"/>
      <c r="R4" s="68"/>
      <c r="S4" s="68"/>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row>
    <row r="5" spans="2:56" s="3" customFormat="1" ht="20.100000000000001" customHeight="1">
      <c r="B5" s="381" t="s">
        <v>34</v>
      </c>
      <c r="C5" s="382"/>
      <c r="D5" s="178" t="s">
        <v>35</v>
      </c>
      <c r="E5" s="178"/>
      <c r="F5" s="178"/>
      <c r="G5" s="435"/>
      <c r="H5" s="437" t="s">
        <v>108</v>
      </c>
      <c r="I5" s="438"/>
      <c r="J5" s="68"/>
      <c r="K5" s="68"/>
      <c r="L5" s="68"/>
      <c r="M5" s="68"/>
      <c r="N5" s="68"/>
      <c r="O5" s="68"/>
      <c r="P5" s="68"/>
      <c r="Q5" s="68"/>
      <c r="R5" s="68"/>
      <c r="S5" s="68"/>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row>
    <row r="6" spans="2:56" s="3" customFormat="1" ht="20.100000000000001" customHeight="1" thickBot="1">
      <c r="B6" s="385"/>
      <c r="C6" s="386"/>
      <c r="D6" s="268"/>
      <c r="E6" s="268"/>
      <c r="F6" s="268"/>
      <c r="G6" s="436"/>
      <c r="H6" s="439"/>
      <c r="I6" s="440"/>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row>
    <row r="7" spans="2:56" s="3" customFormat="1" ht="20.100000000000001" customHeight="1">
      <c r="B7" s="423"/>
      <c r="C7" s="424"/>
      <c r="D7" s="425"/>
      <c r="E7" s="425"/>
      <c r="F7" s="425"/>
      <c r="G7" s="425"/>
      <c r="H7" s="425"/>
      <c r="I7" s="426"/>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row>
    <row r="8" spans="2:56" s="3" customFormat="1" ht="20.100000000000001" customHeight="1">
      <c r="B8" s="427"/>
      <c r="C8" s="428"/>
      <c r="D8" s="429"/>
      <c r="E8" s="429"/>
      <c r="F8" s="429"/>
      <c r="G8" s="429"/>
      <c r="H8" s="430"/>
      <c r="I8" s="431"/>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row>
    <row r="9" spans="2:56" s="3" customFormat="1" ht="20.100000000000001" customHeight="1">
      <c r="B9" s="427"/>
      <c r="C9" s="428"/>
      <c r="D9" s="429"/>
      <c r="E9" s="429"/>
      <c r="F9" s="429"/>
      <c r="G9" s="429"/>
      <c r="H9" s="430"/>
      <c r="I9" s="431"/>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row>
    <row r="10" spans="2:56" s="3" customFormat="1" ht="20.100000000000001" customHeight="1">
      <c r="B10" s="427"/>
      <c r="C10" s="428"/>
      <c r="D10" s="429"/>
      <c r="E10" s="429"/>
      <c r="F10" s="429"/>
      <c r="G10" s="429"/>
      <c r="H10" s="430"/>
      <c r="I10" s="431"/>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row>
    <row r="11" spans="2:56" s="3" customFormat="1" ht="20.100000000000001" customHeight="1">
      <c r="B11" s="441"/>
      <c r="C11" s="442"/>
      <c r="D11" s="443"/>
      <c r="E11" s="443"/>
      <c r="F11" s="443"/>
      <c r="G11" s="443"/>
      <c r="H11" s="443"/>
      <c r="I11" s="444"/>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row>
    <row r="12" spans="2:56" s="3" customFormat="1" ht="20.100000000000001" customHeight="1">
      <c r="B12" s="427"/>
      <c r="C12" s="428"/>
      <c r="D12" s="430"/>
      <c r="E12" s="430"/>
      <c r="F12" s="430"/>
      <c r="G12" s="430"/>
      <c r="H12" s="430"/>
      <c r="I12" s="431"/>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row>
    <row r="13" spans="2:56" s="3" customFormat="1" ht="20.100000000000001" customHeight="1">
      <c r="B13" s="427"/>
      <c r="C13" s="428"/>
      <c r="D13" s="430"/>
      <c r="E13" s="430"/>
      <c r="F13" s="430"/>
      <c r="G13" s="430"/>
      <c r="H13" s="430"/>
      <c r="I13" s="431"/>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row>
    <row r="14" spans="2:56" s="3" customFormat="1" ht="20.100000000000001" customHeight="1" thickBot="1">
      <c r="B14" s="449"/>
      <c r="C14" s="450"/>
      <c r="D14" s="451"/>
      <c r="E14" s="451"/>
      <c r="F14" s="451"/>
      <c r="G14" s="451"/>
      <c r="H14" s="451"/>
      <c r="I14" s="452"/>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row>
    <row r="15" spans="2:56" s="3" customFormat="1" ht="20.100000000000001" customHeight="1" thickBot="1">
      <c r="B15" s="445" t="s">
        <v>42</v>
      </c>
      <c r="C15" s="446"/>
      <c r="D15" s="446"/>
      <c r="E15" s="446"/>
      <c r="F15" s="446"/>
      <c r="G15" s="446"/>
      <c r="H15" s="202">
        <f>SUM(H7:I14)</f>
        <v>0</v>
      </c>
      <c r="I15" s="203"/>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row>
    <row r="16" spans="2:56" s="3" customFormat="1" ht="20.100000000000001" customHeight="1">
      <c r="B16" s="2" t="s">
        <v>242</v>
      </c>
      <c r="C16" s="69"/>
      <c r="D16" s="69"/>
      <c r="E16" s="69"/>
      <c r="F16" s="69"/>
      <c r="G16" s="69"/>
      <c r="H16" s="70"/>
      <c r="I16" s="70"/>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row>
    <row r="17" spans="2:56" s="3" customFormat="1" ht="20.100000000000001" customHeight="1">
      <c r="B17" s="2"/>
      <c r="C17" s="69"/>
      <c r="D17" s="69"/>
      <c r="E17" s="69"/>
      <c r="F17" s="69"/>
      <c r="G17" s="69"/>
      <c r="H17" s="70"/>
      <c r="I17" s="70"/>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row>
    <row r="18" spans="2:56" s="3" customFormat="1" ht="20.100000000000001" customHeight="1">
      <c r="B18" s="4"/>
      <c r="C18" s="69"/>
      <c r="D18" s="69"/>
      <c r="E18" s="69"/>
      <c r="F18" s="69"/>
      <c r="G18" s="69"/>
      <c r="H18" s="70"/>
      <c r="I18" s="70"/>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row>
    <row r="19" spans="2:56" s="2" customFormat="1" ht="20.100000000000001" customHeight="1" thickBot="1">
      <c r="B19" s="4" t="s">
        <v>263</v>
      </c>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row>
    <row r="20" spans="2:56" s="2" customFormat="1" ht="20.100000000000001" customHeight="1">
      <c r="B20" s="367" t="s">
        <v>34</v>
      </c>
      <c r="C20" s="178"/>
      <c r="D20" s="178" t="s">
        <v>35</v>
      </c>
      <c r="E20" s="178"/>
      <c r="F20" s="178"/>
      <c r="G20" s="178"/>
      <c r="H20" s="254" t="s">
        <v>152</v>
      </c>
      <c r="I20" s="447"/>
      <c r="J20" s="255"/>
      <c r="K20" s="254" t="s">
        <v>111</v>
      </c>
      <c r="L20" s="447"/>
      <c r="M20" s="255"/>
      <c r="N20" s="254" t="s">
        <v>123</v>
      </c>
      <c r="O20" s="447"/>
      <c r="P20" s="255"/>
      <c r="Q20" s="254" t="s">
        <v>110</v>
      </c>
      <c r="R20" s="195"/>
      <c r="S20" s="196"/>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row>
    <row r="21" spans="2:56" s="2" customFormat="1" ht="20.100000000000001" customHeight="1" thickBot="1">
      <c r="B21" s="369"/>
      <c r="C21" s="268"/>
      <c r="D21" s="268"/>
      <c r="E21" s="268"/>
      <c r="F21" s="268"/>
      <c r="G21" s="268"/>
      <c r="H21" s="258"/>
      <c r="I21" s="448"/>
      <c r="J21" s="259"/>
      <c r="K21" s="258"/>
      <c r="L21" s="448"/>
      <c r="M21" s="259"/>
      <c r="N21" s="258"/>
      <c r="O21" s="448"/>
      <c r="P21" s="259"/>
      <c r="Q21" s="300"/>
      <c r="R21" s="297"/>
      <c r="S21" s="301"/>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row>
    <row r="22" spans="2:56" s="2" customFormat="1" ht="20.100000000000001" customHeight="1">
      <c r="B22" s="463" t="str">
        <f>IF(B7="","",B7)</f>
        <v/>
      </c>
      <c r="C22" s="464"/>
      <c r="D22" s="465" t="str">
        <f>IF(D7="","",D7)</f>
        <v/>
      </c>
      <c r="E22" s="466"/>
      <c r="F22" s="466"/>
      <c r="G22" s="464"/>
      <c r="H22" s="241"/>
      <c r="I22" s="467"/>
      <c r="J22" s="242"/>
      <c r="K22" s="241"/>
      <c r="L22" s="467"/>
      <c r="M22" s="242"/>
      <c r="N22" s="468"/>
      <c r="O22" s="469"/>
      <c r="P22" s="470"/>
      <c r="Q22" s="390" t="str">
        <f>IF(H22="","",K22*H22*AH22)</f>
        <v/>
      </c>
      <c r="R22" s="471"/>
      <c r="S22" s="472"/>
      <c r="AE22" s="19"/>
      <c r="AF22" s="19"/>
      <c r="AG22" s="38" t="b">
        <v>0</v>
      </c>
      <c r="AH22" s="38">
        <f t="shared" ref="AH22:AH29" si="0">IF(AG22=TRUE,0.7,1)</f>
        <v>1</v>
      </c>
      <c r="AI22" s="19"/>
      <c r="AJ22" s="19"/>
      <c r="AK22" s="19"/>
      <c r="AL22" s="19"/>
      <c r="AM22" s="19"/>
      <c r="AN22" s="19"/>
      <c r="AO22" s="19"/>
      <c r="AP22" s="19"/>
      <c r="AQ22" s="19"/>
      <c r="AR22" s="19"/>
      <c r="AS22" s="19"/>
      <c r="AT22" s="19"/>
      <c r="AU22" s="19"/>
      <c r="AV22" s="19"/>
      <c r="AW22" s="19"/>
      <c r="AX22" s="19"/>
      <c r="AY22" s="19"/>
      <c r="AZ22" s="19"/>
      <c r="BA22" s="19"/>
      <c r="BB22" s="19"/>
      <c r="BC22" s="19"/>
      <c r="BD22" s="19"/>
    </row>
    <row r="23" spans="2:56" s="2" customFormat="1" ht="20.100000000000001" customHeight="1">
      <c r="B23" s="453" t="str">
        <f>IF(B8="","",B8)</f>
        <v/>
      </c>
      <c r="C23" s="454"/>
      <c r="D23" s="455" t="str">
        <f>IF(D8="","",D8)</f>
        <v/>
      </c>
      <c r="E23" s="456"/>
      <c r="F23" s="456"/>
      <c r="G23" s="457"/>
      <c r="H23" s="232"/>
      <c r="I23" s="458"/>
      <c r="J23" s="233"/>
      <c r="K23" s="232"/>
      <c r="L23" s="458"/>
      <c r="M23" s="233"/>
      <c r="N23" s="459"/>
      <c r="O23" s="460"/>
      <c r="P23" s="461"/>
      <c r="Q23" s="215" t="str">
        <f>IF(H23="","",K23*H23*AH23)</f>
        <v/>
      </c>
      <c r="R23" s="462"/>
      <c r="S23" s="238"/>
      <c r="AE23" s="19"/>
      <c r="AF23" s="19"/>
      <c r="AG23" s="38" t="b">
        <v>0</v>
      </c>
      <c r="AH23" s="38">
        <f t="shared" si="0"/>
        <v>1</v>
      </c>
      <c r="AI23" s="19"/>
      <c r="AJ23" s="19"/>
      <c r="AK23" s="19"/>
      <c r="AL23" s="19"/>
      <c r="AM23" s="19"/>
      <c r="AN23" s="19"/>
      <c r="AO23" s="19"/>
      <c r="AP23" s="19"/>
      <c r="AQ23" s="19"/>
      <c r="AR23" s="19"/>
      <c r="AS23" s="19"/>
      <c r="AT23" s="19"/>
      <c r="AU23" s="19"/>
      <c r="AV23" s="19"/>
      <c r="AW23" s="19"/>
      <c r="AX23" s="19"/>
      <c r="AY23" s="19"/>
      <c r="AZ23" s="19"/>
      <c r="BA23" s="19"/>
      <c r="BB23" s="19"/>
      <c r="BC23" s="19"/>
      <c r="BD23" s="19"/>
    </row>
    <row r="24" spans="2:56" s="2" customFormat="1" ht="20.100000000000001" customHeight="1">
      <c r="B24" s="473" t="str">
        <f>IF(B9="","",B9)</f>
        <v/>
      </c>
      <c r="C24" s="457"/>
      <c r="D24" s="455" t="str">
        <f>IF(D9="","",D9)</f>
        <v/>
      </c>
      <c r="E24" s="456"/>
      <c r="F24" s="456"/>
      <c r="G24" s="457"/>
      <c r="H24" s="232"/>
      <c r="I24" s="458"/>
      <c r="J24" s="233"/>
      <c r="K24" s="232"/>
      <c r="L24" s="458"/>
      <c r="M24" s="233"/>
      <c r="N24" s="459"/>
      <c r="O24" s="460"/>
      <c r="P24" s="461"/>
      <c r="Q24" s="215" t="str">
        <f>IF(H24="","",K24*H24*AH24)</f>
        <v/>
      </c>
      <c r="R24" s="462"/>
      <c r="S24" s="238"/>
      <c r="AE24" s="19"/>
      <c r="AF24" s="19"/>
      <c r="AG24" s="38" t="b">
        <v>0</v>
      </c>
      <c r="AH24" s="38">
        <f t="shared" si="0"/>
        <v>1</v>
      </c>
      <c r="AI24" s="19"/>
      <c r="AJ24" s="19"/>
      <c r="AK24" s="19"/>
      <c r="AL24" s="19"/>
      <c r="AM24" s="19"/>
      <c r="AN24" s="19"/>
      <c r="AO24" s="19"/>
      <c r="AP24" s="19"/>
      <c r="AQ24" s="19"/>
      <c r="AR24" s="19"/>
      <c r="AS24" s="19"/>
      <c r="AT24" s="19"/>
      <c r="AU24" s="19"/>
      <c r="AV24" s="19"/>
      <c r="AW24" s="19"/>
      <c r="AX24" s="19"/>
      <c r="AY24" s="19"/>
      <c r="AZ24" s="19"/>
      <c r="BA24" s="19"/>
      <c r="BB24" s="19"/>
      <c r="BC24" s="19"/>
      <c r="BD24" s="19"/>
    </row>
    <row r="25" spans="2:56" s="2" customFormat="1" ht="20.100000000000001" customHeight="1">
      <c r="B25" s="473" t="str">
        <f>IF(B10="","",B10)</f>
        <v/>
      </c>
      <c r="C25" s="457"/>
      <c r="D25" s="455" t="str">
        <f>IF(D10="","",D10)</f>
        <v/>
      </c>
      <c r="E25" s="456"/>
      <c r="F25" s="456"/>
      <c r="G25" s="457"/>
      <c r="H25" s="232"/>
      <c r="I25" s="458"/>
      <c r="J25" s="233"/>
      <c r="K25" s="232"/>
      <c r="L25" s="458"/>
      <c r="M25" s="233"/>
      <c r="N25" s="459"/>
      <c r="O25" s="460"/>
      <c r="P25" s="461"/>
      <c r="Q25" s="215" t="str">
        <f>IF(H25="","",K25*H25*AH25)</f>
        <v/>
      </c>
      <c r="R25" s="462"/>
      <c r="S25" s="238"/>
      <c r="AE25" s="19"/>
      <c r="AF25" s="19"/>
      <c r="AG25" s="38" t="b">
        <v>0</v>
      </c>
      <c r="AH25" s="38">
        <f t="shared" si="0"/>
        <v>1</v>
      </c>
      <c r="AI25" s="19"/>
      <c r="AJ25" s="19"/>
      <c r="AK25" s="19"/>
      <c r="AL25" s="19"/>
      <c r="AM25" s="19"/>
      <c r="AN25" s="19"/>
      <c r="AO25" s="19"/>
      <c r="AP25" s="19"/>
      <c r="AQ25" s="19"/>
      <c r="AR25" s="19"/>
      <c r="AS25" s="19"/>
      <c r="AT25" s="19"/>
      <c r="AU25" s="19"/>
      <c r="AV25" s="19"/>
      <c r="AW25" s="19"/>
      <c r="AX25" s="19"/>
      <c r="AY25" s="19"/>
      <c r="AZ25" s="19"/>
      <c r="BA25" s="19"/>
      <c r="BB25" s="19"/>
      <c r="BC25" s="19"/>
      <c r="BD25" s="19"/>
    </row>
    <row r="26" spans="2:56" s="2" customFormat="1" ht="20.100000000000001" customHeight="1">
      <c r="B26" s="474" t="str">
        <f>IF(B11="","",B11)</f>
        <v/>
      </c>
      <c r="C26" s="475"/>
      <c r="D26" s="475" t="str">
        <f>IF(D11="","",D11)</f>
        <v/>
      </c>
      <c r="E26" s="475"/>
      <c r="F26" s="475"/>
      <c r="G26" s="475"/>
      <c r="H26" s="236"/>
      <c r="I26" s="236"/>
      <c r="J26" s="236"/>
      <c r="K26" s="236"/>
      <c r="L26" s="236"/>
      <c r="M26" s="236"/>
      <c r="N26" s="476"/>
      <c r="O26" s="476"/>
      <c r="P26" s="476"/>
      <c r="Q26" s="217" t="str">
        <f>IF(H26="","",K26*H26*AH26)</f>
        <v/>
      </c>
      <c r="R26" s="217"/>
      <c r="S26" s="218"/>
      <c r="AE26" s="19"/>
      <c r="AF26" s="19"/>
      <c r="AG26" s="38" t="b">
        <v>0</v>
      </c>
      <c r="AH26" s="38">
        <f t="shared" si="0"/>
        <v>1</v>
      </c>
      <c r="AI26" s="19"/>
      <c r="AJ26" s="19"/>
      <c r="AK26" s="19"/>
      <c r="AL26" s="19"/>
      <c r="AM26" s="19"/>
      <c r="AN26" s="19"/>
      <c r="AO26" s="19"/>
      <c r="AP26" s="19"/>
      <c r="AQ26" s="19"/>
      <c r="AR26" s="19"/>
      <c r="AS26" s="19"/>
      <c r="AT26" s="19"/>
      <c r="AU26" s="19"/>
      <c r="AV26" s="19"/>
      <c r="AW26" s="19"/>
      <c r="AX26" s="19"/>
      <c r="AY26" s="19"/>
      <c r="AZ26" s="19"/>
      <c r="BA26" s="19"/>
      <c r="BB26" s="19"/>
      <c r="BC26" s="19"/>
      <c r="BD26" s="19"/>
    </row>
    <row r="27" spans="2:56" s="2" customFormat="1" ht="20.100000000000001" customHeight="1">
      <c r="B27" s="474" t="str">
        <f t="shared" ref="B27:B29" si="1">IF(B12="","",B12)</f>
        <v/>
      </c>
      <c r="C27" s="475"/>
      <c r="D27" s="475" t="str">
        <f t="shared" ref="D27:D29" si="2">IF(D12="","",D12)</f>
        <v/>
      </c>
      <c r="E27" s="475"/>
      <c r="F27" s="475"/>
      <c r="G27" s="475"/>
      <c r="H27" s="236"/>
      <c r="I27" s="236"/>
      <c r="J27" s="236"/>
      <c r="K27" s="236"/>
      <c r="L27" s="236"/>
      <c r="M27" s="236"/>
      <c r="N27" s="476"/>
      <c r="O27" s="476"/>
      <c r="P27" s="476"/>
      <c r="Q27" s="217" t="str">
        <f t="shared" ref="Q27:Q29" si="3">IF(H27="","",K27*H27*AH27)</f>
        <v/>
      </c>
      <c r="R27" s="217"/>
      <c r="S27" s="218"/>
      <c r="T27" s="71"/>
      <c r="U27" s="71"/>
      <c r="AE27" s="19"/>
      <c r="AF27" s="19"/>
      <c r="AG27" s="38" t="b">
        <v>0</v>
      </c>
      <c r="AH27" s="38">
        <f t="shared" si="0"/>
        <v>1</v>
      </c>
      <c r="AI27" s="19"/>
      <c r="AJ27" s="19"/>
      <c r="AK27" s="19"/>
      <c r="AL27" s="19"/>
      <c r="AM27" s="19"/>
      <c r="AN27" s="19"/>
      <c r="AO27" s="19"/>
      <c r="AP27" s="19"/>
      <c r="AQ27" s="19"/>
      <c r="AR27" s="19"/>
      <c r="AS27" s="19"/>
      <c r="AT27" s="19"/>
      <c r="AU27" s="19"/>
      <c r="AV27" s="19"/>
      <c r="AW27" s="19"/>
      <c r="AX27" s="19"/>
      <c r="AY27" s="19"/>
      <c r="AZ27" s="19"/>
      <c r="BA27" s="19"/>
      <c r="BB27" s="19"/>
      <c r="BC27" s="19"/>
      <c r="BD27" s="19"/>
    </row>
    <row r="28" spans="2:56" s="2" customFormat="1" ht="20.100000000000001" customHeight="1">
      <c r="B28" s="474" t="str">
        <f t="shared" si="1"/>
        <v/>
      </c>
      <c r="C28" s="475"/>
      <c r="D28" s="475" t="str">
        <f t="shared" si="2"/>
        <v/>
      </c>
      <c r="E28" s="475"/>
      <c r="F28" s="475"/>
      <c r="G28" s="475"/>
      <c r="H28" s="236"/>
      <c r="I28" s="236"/>
      <c r="J28" s="236"/>
      <c r="K28" s="236"/>
      <c r="L28" s="236"/>
      <c r="M28" s="236"/>
      <c r="N28" s="476"/>
      <c r="O28" s="476"/>
      <c r="P28" s="476"/>
      <c r="Q28" s="217" t="str">
        <f t="shared" si="3"/>
        <v/>
      </c>
      <c r="R28" s="217"/>
      <c r="S28" s="218"/>
      <c r="T28" s="71"/>
      <c r="U28" s="71"/>
      <c r="AE28" s="19"/>
      <c r="AF28" s="19"/>
      <c r="AG28" s="38" t="b">
        <v>0</v>
      </c>
      <c r="AH28" s="38">
        <f t="shared" si="0"/>
        <v>1</v>
      </c>
      <c r="AI28" s="19"/>
      <c r="AJ28" s="19"/>
      <c r="AK28" s="19"/>
      <c r="AL28" s="19"/>
      <c r="AM28" s="19"/>
      <c r="AN28" s="19"/>
      <c r="AO28" s="19"/>
      <c r="AP28" s="19"/>
      <c r="AQ28" s="19"/>
      <c r="AR28" s="19"/>
      <c r="AS28" s="19"/>
      <c r="AT28" s="19"/>
      <c r="AU28" s="19"/>
      <c r="AV28" s="19"/>
      <c r="AW28" s="19"/>
      <c r="AX28" s="19"/>
      <c r="AY28" s="19"/>
      <c r="AZ28" s="19"/>
      <c r="BA28" s="19"/>
      <c r="BB28" s="19"/>
      <c r="BC28" s="19"/>
      <c r="BD28" s="19"/>
    </row>
    <row r="29" spans="2:56" s="2" customFormat="1" ht="20.100000000000001" customHeight="1" thickBot="1">
      <c r="B29" s="477" t="str">
        <f t="shared" si="1"/>
        <v/>
      </c>
      <c r="C29" s="478"/>
      <c r="D29" s="479" t="str">
        <f t="shared" si="2"/>
        <v/>
      </c>
      <c r="E29" s="480"/>
      <c r="F29" s="480"/>
      <c r="G29" s="478"/>
      <c r="H29" s="481"/>
      <c r="I29" s="482"/>
      <c r="J29" s="483"/>
      <c r="K29" s="481"/>
      <c r="L29" s="482"/>
      <c r="M29" s="483"/>
      <c r="N29" s="484"/>
      <c r="O29" s="485"/>
      <c r="P29" s="486"/>
      <c r="Q29" s="487" t="str">
        <f t="shared" si="3"/>
        <v/>
      </c>
      <c r="R29" s="488"/>
      <c r="S29" s="489"/>
      <c r="AE29" s="19"/>
      <c r="AF29" s="19"/>
      <c r="AG29" s="38" t="b">
        <v>0</v>
      </c>
      <c r="AH29" s="38">
        <f t="shared" si="0"/>
        <v>1</v>
      </c>
      <c r="AI29" s="19"/>
      <c r="AJ29" s="19"/>
      <c r="AK29" s="19"/>
      <c r="AL29" s="19"/>
      <c r="AM29" s="19"/>
      <c r="AN29" s="19"/>
      <c r="AO29" s="19"/>
      <c r="AP29" s="19"/>
      <c r="AQ29" s="19"/>
      <c r="AR29" s="19"/>
      <c r="AS29" s="19"/>
      <c r="AT29" s="19"/>
      <c r="AU29" s="19"/>
      <c r="AV29" s="19"/>
      <c r="AW29" s="19"/>
      <c r="AX29" s="19"/>
      <c r="AY29" s="19"/>
      <c r="AZ29" s="19"/>
      <c r="BA29" s="19"/>
      <c r="BB29" s="19"/>
      <c r="BC29" s="19"/>
      <c r="BD29" s="19"/>
    </row>
    <row r="30" spans="2:56" s="2" customFormat="1" ht="20.100000000000001" customHeight="1" thickBot="1">
      <c r="B30" s="200" t="s">
        <v>112</v>
      </c>
      <c r="C30" s="201"/>
      <c r="D30" s="201"/>
      <c r="E30" s="201"/>
      <c r="F30" s="201"/>
      <c r="G30" s="201"/>
      <c r="H30" s="202">
        <f>SUM(H22:J29)</f>
        <v>0</v>
      </c>
      <c r="I30" s="202"/>
      <c r="J30" s="202"/>
      <c r="K30" s="490" t="s">
        <v>79</v>
      </c>
      <c r="L30" s="491"/>
      <c r="M30" s="491"/>
      <c r="N30" s="446" t="s">
        <v>79</v>
      </c>
      <c r="O30" s="446"/>
      <c r="P30" s="446"/>
      <c r="Q30" s="405">
        <f>SUM(Q22:S29)</f>
        <v>0</v>
      </c>
      <c r="R30" s="492"/>
      <c r="S30" s="493"/>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row>
    <row r="31" spans="2:56" s="2" customFormat="1" ht="20.100000000000001" customHeight="1">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row>
    <row r="32" spans="2:56" s="3" customFormat="1" ht="20.100000000000001" customHeight="1" thickBot="1">
      <c r="B32" s="4" t="s">
        <v>292</v>
      </c>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row>
    <row r="33" spans="2:56" s="3" customFormat="1" ht="20.100000000000001" customHeight="1">
      <c r="B33" s="248" t="s">
        <v>0</v>
      </c>
      <c r="C33" s="195"/>
      <c r="D33" s="195"/>
      <c r="E33" s="302" t="s">
        <v>106</v>
      </c>
      <c r="F33" s="195"/>
      <c r="G33" s="249"/>
      <c r="H33" s="254" t="s">
        <v>108</v>
      </c>
      <c r="I33" s="195"/>
      <c r="J33" s="249"/>
      <c r="K33" s="254" t="s">
        <v>109</v>
      </c>
      <c r="L33" s="195"/>
      <c r="M33" s="249"/>
      <c r="N33" s="254" t="s">
        <v>123</v>
      </c>
      <c r="O33" s="447"/>
      <c r="P33" s="255"/>
      <c r="Q33" s="494" t="s">
        <v>153</v>
      </c>
      <c r="R33" s="494"/>
      <c r="S33" s="494"/>
      <c r="T33" s="494" t="s">
        <v>154</v>
      </c>
      <c r="U33" s="494"/>
      <c r="V33" s="494"/>
      <c r="W33" s="254" t="s">
        <v>110</v>
      </c>
      <c r="X33" s="195"/>
      <c r="Y33" s="196"/>
      <c r="Z33" s="2"/>
      <c r="AE33" s="19" t="s">
        <v>114</v>
      </c>
      <c r="AF33" s="19"/>
      <c r="AG33" s="19"/>
      <c r="AH33" s="19"/>
      <c r="AI33" s="19"/>
      <c r="AJ33" s="496" t="s">
        <v>124</v>
      </c>
      <c r="AK33" s="496"/>
      <c r="AL33" s="19"/>
      <c r="AM33" s="72"/>
      <c r="AN33" s="19"/>
      <c r="AO33" s="19"/>
      <c r="AP33" s="19"/>
      <c r="AQ33" s="19"/>
      <c r="AR33" s="19"/>
      <c r="AS33" s="19"/>
      <c r="AT33" s="19"/>
      <c r="AU33" s="19"/>
      <c r="AV33" s="19"/>
      <c r="AW33" s="19"/>
      <c r="AX33" s="19"/>
      <c r="AY33" s="19"/>
      <c r="AZ33" s="19"/>
      <c r="BA33" s="19"/>
      <c r="BB33" s="19"/>
      <c r="BC33" s="19"/>
      <c r="BD33" s="19"/>
    </row>
    <row r="34" spans="2:56" s="3" customFormat="1" ht="20.100000000000001" customHeight="1" thickBot="1">
      <c r="B34" s="252"/>
      <c r="C34" s="297"/>
      <c r="D34" s="297"/>
      <c r="E34" s="300"/>
      <c r="F34" s="297"/>
      <c r="G34" s="253"/>
      <c r="H34" s="300"/>
      <c r="I34" s="297"/>
      <c r="J34" s="253"/>
      <c r="K34" s="300"/>
      <c r="L34" s="297"/>
      <c r="M34" s="253"/>
      <c r="N34" s="258"/>
      <c r="O34" s="448"/>
      <c r="P34" s="259"/>
      <c r="Q34" s="495"/>
      <c r="R34" s="495"/>
      <c r="S34" s="495"/>
      <c r="T34" s="495"/>
      <c r="U34" s="495"/>
      <c r="V34" s="495"/>
      <c r="W34" s="300"/>
      <c r="X34" s="297"/>
      <c r="Y34" s="301"/>
      <c r="Z34" s="2"/>
      <c r="AE34" s="19"/>
      <c r="AF34" s="19"/>
      <c r="AG34" s="73"/>
      <c r="AH34" s="74"/>
      <c r="AI34" s="73"/>
      <c r="AJ34" s="75" t="s">
        <v>125</v>
      </c>
      <c r="AK34" s="75" t="s">
        <v>126</v>
      </c>
      <c r="AL34" s="19"/>
      <c r="AM34" s="19"/>
      <c r="AN34" s="72" t="s">
        <v>127</v>
      </c>
      <c r="AO34" s="72"/>
      <c r="AP34" s="72" t="s">
        <v>128</v>
      </c>
      <c r="AQ34" s="19"/>
      <c r="AR34" s="19"/>
      <c r="AS34" s="19"/>
      <c r="AT34" s="19"/>
      <c r="AU34" s="19"/>
      <c r="AV34" s="19"/>
      <c r="AW34" s="19"/>
      <c r="AX34" s="19"/>
      <c r="AY34" s="19"/>
      <c r="AZ34" s="19"/>
      <c r="BA34" s="19"/>
      <c r="BB34" s="19"/>
      <c r="BC34" s="19"/>
      <c r="BD34" s="19"/>
    </row>
    <row r="35" spans="2:56" s="2" customFormat="1" ht="20.100000000000001" customHeight="1">
      <c r="B35" s="372"/>
      <c r="C35" s="497"/>
      <c r="D35" s="497"/>
      <c r="E35" s="241"/>
      <c r="F35" s="467"/>
      <c r="G35" s="242"/>
      <c r="H35" s="241"/>
      <c r="I35" s="467"/>
      <c r="J35" s="242"/>
      <c r="K35" s="241"/>
      <c r="L35" s="467"/>
      <c r="M35" s="242"/>
      <c r="N35" s="468" t="s">
        <v>44</v>
      </c>
      <c r="O35" s="469"/>
      <c r="P35" s="470"/>
      <c r="Q35" s="390" t="str">
        <f>IF(H35="","",IF(AG35=TRUE,0,H35*K35*0.034*AJ35))</f>
        <v/>
      </c>
      <c r="R35" s="471"/>
      <c r="S35" s="391"/>
      <c r="T35" s="217" t="str">
        <f>IF(H35="","",IF(AG35=TRUE,0,H35*K35*0.034*AK35))</f>
        <v/>
      </c>
      <c r="U35" s="217"/>
      <c r="V35" s="217"/>
      <c r="W35" s="246" t="str">
        <f>IF(H35="","",K35*H35*AH35)</f>
        <v/>
      </c>
      <c r="X35" s="246"/>
      <c r="Y35" s="247"/>
      <c r="AE35" s="19" t="s">
        <v>115</v>
      </c>
      <c r="AF35" s="19"/>
      <c r="AG35" s="38" t="b">
        <v>0</v>
      </c>
      <c r="AH35" s="38">
        <f>IF(AG35=TRUE,0.7,1)</f>
        <v>1</v>
      </c>
      <c r="AI35" s="19"/>
      <c r="AJ35" s="38" t="e">
        <f>VLOOKUP(E35,夏方位係数,2,FALSE)</f>
        <v>#N/A</v>
      </c>
      <c r="AK35" s="38" t="e">
        <f>VLOOKUP(E35,冬方位係数,2,FALSE)</f>
        <v>#N/A</v>
      </c>
      <c r="AL35" s="19"/>
      <c r="AM35" s="76" t="s">
        <v>129</v>
      </c>
      <c r="AN35" s="76" t="b">
        <f>'Ａ（南）'!$V$4</f>
        <v>0</v>
      </c>
      <c r="AO35" s="76" t="s">
        <v>129</v>
      </c>
      <c r="AP35" s="76" t="b">
        <f>'Ａ（南）'!$X$4</f>
        <v>0</v>
      </c>
      <c r="AQ35" s="19"/>
      <c r="AR35" s="19"/>
      <c r="AS35" s="19"/>
      <c r="AT35" s="19"/>
      <c r="AU35" s="19"/>
      <c r="AV35" s="19"/>
      <c r="AW35" s="19"/>
      <c r="AX35" s="19"/>
      <c r="AY35" s="19"/>
      <c r="AZ35" s="19"/>
      <c r="BA35" s="19"/>
      <c r="BB35" s="19"/>
      <c r="BC35" s="19"/>
      <c r="BD35" s="19"/>
    </row>
    <row r="36" spans="2:56" s="2" customFormat="1" ht="20.100000000000001" customHeight="1">
      <c r="B36" s="374"/>
      <c r="C36" s="498"/>
      <c r="D36" s="498"/>
      <c r="E36" s="232"/>
      <c r="F36" s="458"/>
      <c r="G36" s="233"/>
      <c r="H36" s="232"/>
      <c r="I36" s="458"/>
      <c r="J36" s="233"/>
      <c r="K36" s="232"/>
      <c r="L36" s="458"/>
      <c r="M36" s="233"/>
      <c r="N36" s="459"/>
      <c r="O36" s="460"/>
      <c r="P36" s="461"/>
      <c r="Q36" s="217" t="str">
        <f>IF(H36="","",IF(AG36=TRUE,0,H36*K36*0.034*AJ36))</f>
        <v/>
      </c>
      <c r="R36" s="217"/>
      <c r="S36" s="217"/>
      <c r="T36" s="217" t="str">
        <f>IF(H36="","",IF(AG36=TRUE,0,H36*K36*0.034*AK36))</f>
        <v/>
      </c>
      <c r="U36" s="217"/>
      <c r="V36" s="217"/>
      <c r="W36" s="217" t="str">
        <f>IF(H36="","",K36*H36*AH36)</f>
        <v/>
      </c>
      <c r="X36" s="217"/>
      <c r="Y36" s="218"/>
      <c r="AE36" s="19" t="s">
        <v>116</v>
      </c>
      <c r="AF36" s="19"/>
      <c r="AG36" s="38" t="b">
        <v>0</v>
      </c>
      <c r="AH36" s="38">
        <f t="shared" ref="AH36:AH44" si="4">IF(AG36=TRUE,0.7,1)</f>
        <v>1</v>
      </c>
      <c r="AI36" s="19"/>
      <c r="AJ36" s="38" t="e">
        <f t="shared" ref="AJ36:AJ44" si="5">VLOOKUP(E36,夏方位係数,2,FALSE)</f>
        <v>#N/A</v>
      </c>
      <c r="AK36" s="38" t="e">
        <f t="shared" ref="AK36:AK44" si="6">VLOOKUP(E36,冬方位係数,2,FALSE)</f>
        <v>#N/A</v>
      </c>
      <c r="AL36" s="19"/>
      <c r="AM36" s="76" t="s">
        <v>130</v>
      </c>
      <c r="AN36" s="76" t="b">
        <f>'Ａ（東）'!$V$4</f>
        <v>0</v>
      </c>
      <c r="AO36" s="76" t="s">
        <v>130</v>
      </c>
      <c r="AP36" s="76" t="b">
        <f>'Ａ（東）'!$X$4</f>
        <v>0</v>
      </c>
      <c r="AQ36" s="19"/>
      <c r="AR36" s="19"/>
      <c r="AS36" s="19"/>
      <c r="AT36" s="19"/>
      <c r="AU36" s="19"/>
      <c r="AV36" s="19"/>
      <c r="AW36" s="19"/>
      <c r="AX36" s="19"/>
      <c r="AY36" s="19"/>
      <c r="AZ36" s="19"/>
      <c r="BA36" s="19"/>
      <c r="BB36" s="19"/>
      <c r="BC36" s="19"/>
      <c r="BD36" s="19"/>
    </row>
    <row r="37" spans="2:56" s="2" customFormat="1" ht="20.100000000000001" customHeight="1">
      <c r="B37" s="374"/>
      <c r="C37" s="498"/>
      <c r="D37" s="498"/>
      <c r="E37" s="232"/>
      <c r="F37" s="458"/>
      <c r="G37" s="233"/>
      <c r="H37" s="232"/>
      <c r="I37" s="458"/>
      <c r="J37" s="233"/>
      <c r="K37" s="232"/>
      <c r="L37" s="458"/>
      <c r="M37" s="233"/>
      <c r="N37" s="459"/>
      <c r="O37" s="460"/>
      <c r="P37" s="461"/>
      <c r="Q37" s="217" t="str">
        <f>IF(H37="","",IF(AG37=TRUE,0,H37*K37*0.034*AJ37))</f>
        <v/>
      </c>
      <c r="R37" s="217"/>
      <c r="S37" s="217"/>
      <c r="T37" s="217" t="str">
        <f>IF(H37="","",IF(AG37=TRUE,0,H37*K37*0.034*AK37))</f>
        <v/>
      </c>
      <c r="U37" s="217"/>
      <c r="V37" s="217"/>
      <c r="W37" s="217" t="str">
        <f>IF(H37="","",K37*H37*AH37)</f>
        <v/>
      </c>
      <c r="X37" s="217"/>
      <c r="Y37" s="218"/>
      <c r="AE37" s="19" t="s">
        <v>117</v>
      </c>
      <c r="AF37" s="19"/>
      <c r="AG37" s="38" t="b">
        <v>0</v>
      </c>
      <c r="AH37" s="38">
        <f t="shared" si="4"/>
        <v>1</v>
      </c>
      <c r="AI37" s="19"/>
      <c r="AJ37" s="38" t="e">
        <f t="shared" si="5"/>
        <v>#N/A</v>
      </c>
      <c r="AK37" s="38" t="e">
        <f t="shared" si="6"/>
        <v>#N/A</v>
      </c>
      <c r="AL37" s="19"/>
      <c r="AM37" s="76" t="s">
        <v>131</v>
      </c>
      <c r="AN37" s="76" t="b">
        <f>'Ａ（北）'!$V$4</f>
        <v>0</v>
      </c>
      <c r="AO37" s="76" t="s">
        <v>131</v>
      </c>
      <c r="AP37" s="76" t="b">
        <f>'Ａ（北）'!$X$4</f>
        <v>0</v>
      </c>
      <c r="AQ37" s="19"/>
      <c r="AR37" s="19"/>
      <c r="AS37" s="19"/>
      <c r="AT37" s="19"/>
      <c r="AU37" s="19"/>
      <c r="AV37" s="19"/>
      <c r="AW37" s="19"/>
      <c r="AX37" s="19"/>
      <c r="AY37" s="19"/>
      <c r="AZ37" s="19"/>
      <c r="BA37" s="19"/>
      <c r="BB37" s="19"/>
      <c r="BC37" s="19"/>
      <c r="BD37" s="19"/>
    </row>
    <row r="38" spans="2:56" s="2" customFormat="1" ht="20.100000000000001" customHeight="1">
      <c r="B38" s="374"/>
      <c r="C38" s="498"/>
      <c r="D38" s="498"/>
      <c r="E38" s="232"/>
      <c r="F38" s="458"/>
      <c r="G38" s="233"/>
      <c r="H38" s="232"/>
      <c r="I38" s="458"/>
      <c r="J38" s="233"/>
      <c r="K38" s="232"/>
      <c r="L38" s="458"/>
      <c r="M38" s="233"/>
      <c r="N38" s="459"/>
      <c r="O38" s="460"/>
      <c r="P38" s="461"/>
      <c r="Q38" s="217" t="str">
        <f>IF(H38="","",IF(AG38=TRUE,0,H38*K38*0.034*AJ38))</f>
        <v/>
      </c>
      <c r="R38" s="217"/>
      <c r="S38" s="217"/>
      <c r="T38" s="217" t="str">
        <f>IF(H38="","",IF(AG38=TRUE,0,H38*K38*0.034*AK38))</f>
        <v/>
      </c>
      <c r="U38" s="217"/>
      <c r="V38" s="217"/>
      <c r="W38" s="217" t="str">
        <f>IF(H38="","",K38*H38*AH38)</f>
        <v/>
      </c>
      <c r="X38" s="217"/>
      <c r="Y38" s="218"/>
      <c r="AE38" s="19" t="s">
        <v>118</v>
      </c>
      <c r="AF38" s="19"/>
      <c r="AG38" s="38" t="b">
        <v>0</v>
      </c>
      <c r="AH38" s="38">
        <f t="shared" si="4"/>
        <v>1</v>
      </c>
      <c r="AI38" s="19"/>
      <c r="AJ38" s="38" t="e">
        <f t="shared" si="5"/>
        <v>#N/A</v>
      </c>
      <c r="AK38" s="38" t="e">
        <f t="shared" si="6"/>
        <v>#N/A</v>
      </c>
      <c r="AL38" s="19"/>
      <c r="AM38" s="76" t="s">
        <v>132</v>
      </c>
      <c r="AN38" s="76" t="b">
        <f>'Ａ（西）'!$V$4</f>
        <v>0</v>
      </c>
      <c r="AO38" s="76" t="s">
        <v>132</v>
      </c>
      <c r="AP38" s="76" t="b">
        <f>'Ａ（西）'!$X$4</f>
        <v>0</v>
      </c>
      <c r="AQ38" s="19"/>
      <c r="AR38" s="19"/>
      <c r="AS38" s="19"/>
      <c r="AT38" s="19"/>
      <c r="AU38" s="19"/>
      <c r="AV38" s="19"/>
      <c r="AW38" s="19"/>
      <c r="AX38" s="19"/>
      <c r="AY38" s="19"/>
      <c r="AZ38" s="19"/>
      <c r="BA38" s="19"/>
      <c r="BB38" s="19"/>
      <c r="BC38" s="19"/>
      <c r="BD38" s="19"/>
    </row>
    <row r="39" spans="2:56" s="2" customFormat="1" ht="20.100000000000001" customHeight="1">
      <c r="B39" s="374"/>
      <c r="C39" s="498"/>
      <c r="D39" s="498"/>
      <c r="E39" s="232"/>
      <c r="F39" s="458"/>
      <c r="G39" s="233"/>
      <c r="H39" s="232"/>
      <c r="I39" s="458"/>
      <c r="J39" s="233"/>
      <c r="K39" s="232"/>
      <c r="L39" s="458"/>
      <c r="M39" s="233"/>
      <c r="N39" s="459"/>
      <c r="O39" s="460"/>
      <c r="P39" s="461"/>
      <c r="Q39" s="217" t="str">
        <f>IF(H39="","",IF(AG39=TRUE,0,H39*K39*0.034*AJ39))</f>
        <v/>
      </c>
      <c r="R39" s="217"/>
      <c r="S39" s="217"/>
      <c r="T39" s="217" t="str">
        <f>IF(H39="","",IF(AG39=TRUE,0,H39*K39*0.034*AK39))</f>
        <v/>
      </c>
      <c r="U39" s="217"/>
      <c r="V39" s="217"/>
      <c r="W39" s="217" t="str">
        <f>IF(H39="","",K39*H39*AH39)</f>
        <v/>
      </c>
      <c r="X39" s="217"/>
      <c r="Y39" s="218"/>
      <c r="AE39" s="19" t="s">
        <v>119</v>
      </c>
      <c r="AF39" s="19"/>
      <c r="AG39" s="38" t="b">
        <v>0</v>
      </c>
      <c r="AH39" s="38">
        <f t="shared" si="4"/>
        <v>1</v>
      </c>
      <c r="AI39" s="19"/>
      <c r="AJ39" s="38" t="e">
        <f t="shared" si="5"/>
        <v>#N/A</v>
      </c>
      <c r="AK39" s="38" t="e">
        <f t="shared" si="6"/>
        <v>#N/A</v>
      </c>
      <c r="AL39" s="19"/>
      <c r="AM39" s="76" t="s">
        <v>133</v>
      </c>
      <c r="AN39" s="76" t="b">
        <f>'Ａ（南東）'!$V$4</f>
        <v>0</v>
      </c>
      <c r="AO39" s="76" t="s">
        <v>133</v>
      </c>
      <c r="AP39" s="76" t="b">
        <f>'Ａ（南東）'!$X$4</f>
        <v>0</v>
      </c>
      <c r="AQ39" s="19"/>
      <c r="AR39" s="19"/>
      <c r="AS39" s="19"/>
      <c r="AT39" s="19"/>
      <c r="AU39" s="19"/>
      <c r="AV39" s="19"/>
      <c r="AW39" s="19"/>
      <c r="AX39" s="19"/>
      <c r="AY39" s="19"/>
      <c r="AZ39" s="19"/>
      <c r="BA39" s="19"/>
      <c r="BB39" s="19"/>
      <c r="BC39" s="19"/>
      <c r="BD39" s="19"/>
    </row>
    <row r="40" spans="2:56" s="2" customFormat="1" ht="20.100000000000001" customHeight="1">
      <c r="B40" s="374"/>
      <c r="C40" s="498"/>
      <c r="D40" s="498"/>
      <c r="E40" s="232"/>
      <c r="F40" s="458"/>
      <c r="G40" s="233"/>
      <c r="H40" s="232"/>
      <c r="I40" s="458"/>
      <c r="J40" s="233"/>
      <c r="K40" s="232"/>
      <c r="L40" s="458"/>
      <c r="M40" s="233"/>
      <c r="N40" s="459"/>
      <c r="O40" s="460"/>
      <c r="P40" s="461"/>
      <c r="Q40" s="217" t="str">
        <f t="shared" ref="Q40:Q44" si="7">IF(H40="","",IF(AG40=TRUE,0,H40*K40*0.034*AJ40))</f>
        <v/>
      </c>
      <c r="R40" s="217"/>
      <c r="S40" s="217"/>
      <c r="T40" s="217" t="str">
        <f t="shared" ref="T40:T44" si="8">IF(H40="","",IF(AG40=TRUE,0,H40*K40*0.034*AK40))</f>
        <v/>
      </c>
      <c r="U40" s="217"/>
      <c r="V40" s="217"/>
      <c r="W40" s="217" t="str">
        <f t="shared" ref="W40:W44" si="9">IF(H40="","",K40*H40*AH40)</f>
        <v/>
      </c>
      <c r="X40" s="217"/>
      <c r="Y40" s="218"/>
      <c r="AE40" s="19" t="s">
        <v>120</v>
      </c>
      <c r="AF40" s="19"/>
      <c r="AG40" s="38" t="b">
        <v>0</v>
      </c>
      <c r="AH40" s="38">
        <f t="shared" si="4"/>
        <v>1</v>
      </c>
      <c r="AI40" s="19"/>
      <c r="AJ40" s="38" t="e">
        <f t="shared" si="5"/>
        <v>#N/A</v>
      </c>
      <c r="AK40" s="38" t="e">
        <f t="shared" si="6"/>
        <v>#N/A</v>
      </c>
      <c r="AL40" s="19"/>
      <c r="AM40" s="76" t="s">
        <v>134</v>
      </c>
      <c r="AN40" s="76" t="b">
        <f>'Ａ（北東）'!$V$4</f>
        <v>0</v>
      </c>
      <c r="AO40" s="76" t="s">
        <v>134</v>
      </c>
      <c r="AP40" s="76" t="b">
        <f>'Ａ（北東）'!$X$4</f>
        <v>0</v>
      </c>
      <c r="AQ40" s="19"/>
      <c r="AR40" s="19"/>
      <c r="AS40" s="19"/>
      <c r="AT40" s="19"/>
      <c r="AU40" s="19"/>
      <c r="AV40" s="19"/>
      <c r="AW40" s="19"/>
      <c r="AX40" s="19"/>
      <c r="AY40" s="19"/>
      <c r="AZ40" s="19"/>
      <c r="BA40" s="19"/>
      <c r="BB40" s="19"/>
      <c r="BC40" s="19"/>
      <c r="BD40" s="19"/>
    </row>
    <row r="41" spans="2:56" s="2" customFormat="1" ht="20.100000000000001" customHeight="1">
      <c r="B41" s="374"/>
      <c r="C41" s="498"/>
      <c r="D41" s="498"/>
      <c r="E41" s="232"/>
      <c r="F41" s="458"/>
      <c r="G41" s="233"/>
      <c r="H41" s="232"/>
      <c r="I41" s="458"/>
      <c r="J41" s="233"/>
      <c r="K41" s="232"/>
      <c r="L41" s="458"/>
      <c r="M41" s="233"/>
      <c r="N41" s="459"/>
      <c r="O41" s="460"/>
      <c r="P41" s="461"/>
      <c r="Q41" s="217" t="str">
        <f t="shared" si="7"/>
        <v/>
      </c>
      <c r="R41" s="217"/>
      <c r="S41" s="217"/>
      <c r="T41" s="217" t="str">
        <f t="shared" si="8"/>
        <v/>
      </c>
      <c r="U41" s="217"/>
      <c r="V41" s="217"/>
      <c r="W41" s="217" t="str">
        <f t="shared" si="9"/>
        <v/>
      </c>
      <c r="X41" s="217"/>
      <c r="Y41" s="218"/>
      <c r="AE41" s="19" t="s">
        <v>121</v>
      </c>
      <c r="AF41" s="19"/>
      <c r="AG41" s="38" t="b">
        <v>0</v>
      </c>
      <c r="AH41" s="38">
        <f t="shared" si="4"/>
        <v>1</v>
      </c>
      <c r="AI41" s="19"/>
      <c r="AJ41" s="38" t="e">
        <f t="shared" si="5"/>
        <v>#N/A</v>
      </c>
      <c r="AK41" s="38" t="e">
        <f t="shared" si="6"/>
        <v>#N/A</v>
      </c>
      <c r="AL41" s="19"/>
      <c r="AM41" s="76" t="s">
        <v>135</v>
      </c>
      <c r="AN41" s="76" t="b">
        <f>'Ａ（北西）'!$V$4</f>
        <v>0</v>
      </c>
      <c r="AO41" s="76" t="s">
        <v>135</v>
      </c>
      <c r="AP41" s="76" t="b">
        <f>'Ａ（北西）'!$X$4</f>
        <v>0</v>
      </c>
      <c r="AQ41" s="19"/>
      <c r="AR41" s="19"/>
      <c r="AS41" s="19"/>
      <c r="AT41" s="19"/>
      <c r="AU41" s="19"/>
      <c r="AV41" s="19"/>
      <c r="AW41" s="19"/>
      <c r="AX41" s="19"/>
      <c r="AY41" s="19"/>
      <c r="AZ41" s="19"/>
      <c r="BA41" s="19"/>
      <c r="BB41" s="19"/>
      <c r="BC41" s="19"/>
      <c r="BD41" s="19"/>
    </row>
    <row r="42" spans="2:56" s="2" customFormat="1" ht="20.100000000000001" customHeight="1">
      <c r="B42" s="374"/>
      <c r="C42" s="498"/>
      <c r="D42" s="498"/>
      <c r="E42" s="232"/>
      <c r="F42" s="458"/>
      <c r="G42" s="233"/>
      <c r="H42" s="232"/>
      <c r="I42" s="458"/>
      <c r="J42" s="233"/>
      <c r="K42" s="232"/>
      <c r="L42" s="458"/>
      <c r="M42" s="233"/>
      <c r="N42" s="459"/>
      <c r="O42" s="460"/>
      <c r="P42" s="461"/>
      <c r="Q42" s="217" t="str">
        <f t="shared" si="7"/>
        <v/>
      </c>
      <c r="R42" s="217"/>
      <c r="S42" s="217"/>
      <c r="T42" s="217" t="str">
        <f t="shared" si="8"/>
        <v/>
      </c>
      <c r="U42" s="217"/>
      <c r="V42" s="217"/>
      <c r="W42" s="217" t="str">
        <f t="shared" si="9"/>
        <v/>
      </c>
      <c r="X42" s="217"/>
      <c r="Y42" s="218"/>
      <c r="AE42" s="19" t="s">
        <v>122</v>
      </c>
      <c r="AF42" s="19"/>
      <c r="AG42" s="38" t="b">
        <v>0</v>
      </c>
      <c r="AH42" s="38">
        <f t="shared" si="4"/>
        <v>1</v>
      </c>
      <c r="AI42" s="19"/>
      <c r="AJ42" s="38" t="e">
        <f t="shared" si="5"/>
        <v>#N/A</v>
      </c>
      <c r="AK42" s="38" t="e">
        <f t="shared" si="6"/>
        <v>#N/A</v>
      </c>
      <c r="AL42" s="19"/>
      <c r="AM42" s="76" t="s">
        <v>136</v>
      </c>
      <c r="AN42" s="76" t="b">
        <f>'Ａ（南西）'!$V$4</f>
        <v>0</v>
      </c>
      <c r="AO42" s="76" t="s">
        <v>136</v>
      </c>
      <c r="AP42" s="76" t="b">
        <f>'Ａ（南西）'!$X$4</f>
        <v>0</v>
      </c>
      <c r="AQ42" s="19"/>
      <c r="AR42" s="19"/>
      <c r="AS42" s="19"/>
      <c r="AT42" s="19"/>
      <c r="AU42" s="19"/>
      <c r="AV42" s="19"/>
      <c r="AW42" s="19"/>
      <c r="AX42" s="19"/>
      <c r="AY42" s="19"/>
      <c r="AZ42" s="19"/>
      <c r="BA42" s="19"/>
      <c r="BB42" s="19"/>
      <c r="BC42" s="19"/>
      <c r="BD42" s="19"/>
    </row>
    <row r="43" spans="2:56" s="2" customFormat="1" ht="20.100000000000001" customHeight="1">
      <c r="B43" s="374"/>
      <c r="C43" s="498"/>
      <c r="D43" s="498"/>
      <c r="E43" s="232"/>
      <c r="F43" s="458"/>
      <c r="G43" s="233"/>
      <c r="H43" s="232"/>
      <c r="I43" s="458"/>
      <c r="J43" s="233"/>
      <c r="K43" s="232"/>
      <c r="L43" s="458"/>
      <c r="M43" s="233"/>
      <c r="N43" s="459"/>
      <c r="O43" s="460"/>
      <c r="P43" s="461"/>
      <c r="Q43" s="217" t="str">
        <f t="shared" si="7"/>
        <v/>
      </c>
      <c r="R43" s="217"/>
      <c r="S43" s="217"/>
      <c r="T43" s="217" t="str">
        <f t="shared" si="8"/>
        <v/>
      </c>
      <c r="U43" s="217"/>
      <c r="V43" s="217"/>
      <c r="W43" s="217" t="str">
        <f t="shared" si="9"/>
        <v/>
      </c>
      <c r="X43" s="217"/>
      <c r="Y43" s="218"/>
      <c r="AE43" s="19"/>
      <c r="AF43" s="19"/>
      <c r="AG43" s="38" t="b">
        <v>0</v>
      </c>
      <c r="AH43" s="38">
        <f t="shared" si="4"/>
        <v>1</v>
      </c>
      <c r="AI43" s="19"/>
      <c r="AJ43" s="38" t="e">
        <f t="shared" si="5"/>
        <v>#N/A</v>
      </c>
      <c r="AK43" s="38" t="e">
        <f t="shared" si="6"/>
        <v>#N/A</v>
      </c>
      <c r="AL43" s="19"/>
      <c r="AM43" s="19"/>
      <c r="AN43" s="19"/>
      <c r="AO43" s="19"/>
      <c r="AP43" s="19"/>
      <c r="AQ43" s="19"/>
      <c r="AR43" s="19"/>
      <c r="AS43" s="19"/>
      <c r="AT43" s="19"/>
      <c r="AU43" s="19"/>
      <c r="AV43" s="19"/>
      <c r="AW43" s="19"/>
      <c r="AX43" s="19"/>
      <c r="AY43" s="19"/>
      <c r="AZ43" s="19"/>
      <c r="BA43" s="19"/>
      <c r="BB43" s="19"/>
      <c r="BC43" s="19"/>
      <c r="BD43" s="19"/>
    </row>
    <row r="44" spans="2:56" s="2" customFormat="1" ht="20.100000000000001" customHeight="1" thickBot="1">
      <c r="B44" s="376"/>
      <c r="C44" s="501"/>
      <c r="D44" s="501"/>
      <c r="E44" s="221"/>
      <c r="F44" s="502"/>
      <c r="G44" s="222"/>
      <c r="H44" s="221"/>
      <c r="I44" s="502"/>
      <c r="J44" s="222"/>
      <c r="K44" s="221"/>
      <c r="L44" s="502"/>
      <c r="M44" s="222"/>
      <c r="N44" s="503"/>
      <c r="O44" s="504"/>
      <c r="P44" s="505"/>
      <c r="Q44" s="270" t="str">
        <f t="shared" si="7"/>
        <v/>
      </c>
      <c r="R44" s="270"/>
      <c r="S44" s="270"/>
      <c r="T44" s="270" t="str">
        <f t="shared" si="8"/>
        <v/>
      </c>
      <c r="U44" s="270"/>
      <c r="V44" s="270"/>
      <c r="W44" s="270" t="str">
        <f t="shared" si="9"/>
        <v/>
      </c>
      <c r="X44" s="270"/>
      <c r="Y44" s="271"/>
      <c r="AE44" s="19"/>
      <c r="AF44" s="19"/>
      <c r="AG44" s="38" t="b">
        <v>0</v>
      </c>
      <c r="AH44" s="38">
        <f t="shared" si="4"/>
        <v>1</v>
      </c>
      <c r="AI44" s="19"/>
      <c r="AJ44" s="38" t="e">
        <f t="shared" si="5"/>
        <v>#N/A</v>
      </c>
      <c r="AK44" s="38" t="e">
        <f t="shared" si="6"/>
        <v>#N/A</v>
      </c>
      <c r="AL44" s="19"/>
      <c r="AM44" s="19"/>
      <c r="AN44" s="19"/>
      <c r="AO44" s="19"/>
      <c r="AP44" s="19"/>
      <c r="AQ44" s="19"/>
      <c r="AR44" s="19"/>
      <c r="AS44" s="19"/>
      <c r="AT44" s="19"/>
      <c r="AU44" s="19"/>
      <c r="AV44" s="19"/>
      <c r="AW44" s="19"/>
      <c r="AX44" s="19"/>
      <c r="AY44" s="19"/>
      <c r="AZ44" s="19"/>
      <c r="BA44" s="19"/>
      <c r="BB44" s="19"/>
      <c r="BC44" s="19"/>
      <c r="BD44" s="19"/>
    </row>
    <row r="45" spans="2:56" s="2" customFormat="1" ht="20.100000000000001" customHeight="1" thickBot="1">
      <c r="B45" s="499" t="s">
        <v>107</v>
      </c>
      <c r="C45" s="500"/>
      <c r="D45" s="500"/>
      <c r="E45" s="500"/>
      <c r="F45" s="500"/>
      <c r="G45" s="500"/>
      <c r="H45" s="202">
        <f>SUM(H35:J44)</f>
        <v>0</v>
      </c>
      <c r="I45" s="202"/>
      <c r="J45" s="202"/>
      <c r="K45" s="490" t="s">
        <v>79</v>
      </c>
      <c r="L45" s="491"/>
      <c r="M45" s="491"/>
      <c r="N45" s="490" t="s">
        <v>79</v>
      </c>
      <c r="O45" s="491"/>
      <c r="P45" s="491"/>
      <c r="Q45" s="202">
        <f>SUM(Q35:S44)</f>
        <v>0</v>
      </c>
      <c r="R45" s="202"/>
      <c r="S45" s="202"/>
      <c r="T45" s="202">
        <f>IF(共通条件・結果!AA7="８地域","-",SUM(T35:V44))</f>
        <v>0</v>
      </c>
      <c r="U45" s="202"/>
      <c r="V45" s="202"/>
      <c r="W45" s="202">
        <f>SUM(W35:Y44)</f>
        <v>0</v>
      </c>
      <c r="X45" s="202"/>
      <c r="Y45" s="203"/>
      <c r="AE45" s="19"/>
      <c r="AF45" s="19"/>
      <c r="AG45" s="19"/>
      <c r="AH45" s="19"/>
      <c r="AI45" s="19"/>
      <c r="AJ45" s="38"/>
      <c r="AK45" s="38"/>
      <c r="AL45" s="19"/>
      <c r="AM45" s="19"/>
      <c r="AN45" s="19"/>
      <c r="AO45" s="19"/>
      <c r="AP45" s="19"/>
      <c r="AQ45" s="19"/>
      <c r="AR45" s="19"/>
      <c r="AS45" s="19"/>
      <c r="AT45" s="19"/>
      <c r="AU45" s="19"/>
      <c r="AV45" s="19"/>
      <c r="AW45" s="19"/>
      <c r="AX45" s="19"/>
      <c r="AY45" s="19"/>
      <c r="AZ45" s="19"/>
      <c r="BA45" s="19"/>
      <c r="BB45" s="19"/>
      <c r="BC45" s="19"/>
      <c r="BD45" s="19"/>
    </row>
    <row r="46" spans="2:56" s="2" customFormat="1" ht="20.100000000000001" customHeight="1">
      <c r="B46" s="77"/>
      <c r="AE46" s="19"/>
      <c r="AF46" s="19"/>
      <c r="AG46" s="19"/>
      <c r="AH46" s="19"/>
      <c r="AI46" s="19"/>
      <c r="AJ46" s="38"/>
      <c r="AK46" s="38"/>
      <c r="AL46" s="19"/>
      <c r="AM46" s="19"/>
      <c r="AN46" s="19"/>
      <c r="AO46" s="19"/>
      <c r="AP46" s="19"/>
      <c r="AQ46" s="19"/>
      <c r="AR46" s="19"/>
      <c r="AS46" s="19"/>
      <c r="AT46" s="19"/>
      <c r="AU46" s="19"/>
      <c r="AV46" s="19"/>
      <c r="AW46" s="19"/>
      <c r="AX46" s="19"/>
      <c r="AY46" s="19"/>
      <c r="AZ46" s="19"/>
      <c r="BA46" s="19"/>
      <c r="BB46" s="19"/>
      <c r="BC46" s="19"/>
      <c r="BD46" s="19"/>
    </row>
    <row r="47" spans="2:56" s="2" customFormat="1" ht="20.100000000000001" customHeight="1">
      <c r="AE47" s="19"/>
      <c r="AF47" s="19"/>
      <c r="AG47" s="19"/>
      <c r="AH47" s="19"/>
      <c r="AI47" s="19"/>
      <c r="AJ47" s="38"/>
      <c r="AK47" s="38"/>
      <c r="AL47" s="19"/>
      <c r="AM47" s="19"/>
      <c r="AN47" s="19"/>
      <c r="AO47" s="19"/>
      <c r="AP47" s="19"/>
      <c r="AQ47" s="19"/>
      <c r="AR47" s="19"/>
      <c r="AS47" s="19"/>
      <c r="AT47" s="19"/>
      <c r="AU47" s="19"/>
      <c r="AV47" s="19"/>
      <c r="AW47" s="19"/>
      <c r="AX47" s="19"/>
      <c r="AY47" s="19"/>
      <c r="AZ47" s="19"/>
      <c r="BA47" s="19"/>
      <c r="BB47" s="19"/>
      <c r="BC47" s="19"/>
      <c r="BD47" s="19"/>
    </row>
    <row r="48" spans="2:56" s="3" customFormat="1" ht="20.100000000000001" customHeight="1">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row>
    <row r="49" spans="25:56" s="3" customFormat="1" ht="20.100000000000001" customHeight="1">
      <c r="Y49" s="2"/>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row>
    <row r="50" spans="25:56" s="3" customFormat="1" ht="20.100000000000001" customHeight="1">
      <c r="Y50" s="2"/>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row>
    <row r="51" spans="25:56" s="3" customFormat="1" ht="20.100000000000001" customHeight="1">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row>
    <row r="52" spans="25:56" s="3" customFormat="1" ht="20.100000000000001" customHeight="1">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row>
    <row r="53" spans="25:56" s="3" customFormat="1" ht="20.100000000000001" customHeight="1">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row>
    <row r="54" spans="25:56" s="3" customFormat="1" ht="20.100000000000001" customHeight="1">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row>
    <row r="55" spans="25:56" s="3" customFormat="1" ht="20.100000000000001" customHeight="1">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row>
    <row r="56" spans="25:56" s="3" customFormat="1" ht="20.100000000000001" customHeight="1">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row>
    <row r="57" spans="25:56" s="3" customFormat="1" ht="20.100000000000001" customHeight="1">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row>
    <row r="58" spans="25:56" s="3" customFormat="1" ht="20.100000000000001" customHeight="1">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row>
    <row r="59" spans="25:56" s="3" customFormat="1" ht="20.100000000000001" customHeight="1">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row>
    <row r="60" spans="25:56" s="3" customFormat="1" ht="20.100000000000001" customHeight="1">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row>
    <row r="61" spans="25:56" s="3" customFormat="1" ht="20.100000000000001" customHeight="1">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row>
    <row r="62" spans="25:56" s="3" customFormat="1" ht="20.100000000000001" customHeight="1">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row>
    <row r="63" spans="25:56" s="3" customFormat="1" ht="20.100000000000001" customHeight="1">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row>
    <row r="64" spans="25:56" s="3" customFormat="1" ht="20.100000000000001" customHeight="1">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row>
    <row r="65" spans="31:56" s="3" customFormat="1" ht="20.100000000000001" customHeight="1">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row>
    <row r="66" spans="31:56" s="3" customFormat="1" ht="20.100000000000001" customHeight="1">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row>
    <row r="67" spans="31:56" s="3" customFormat="1" ht="20.100000000000001" customHeight="1">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row>
    <row r="68" spans="31:56" s="3" customFormat="1" ht="20.100000000000001" customHeight="1">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row>
    <row r="69" spans="31:56" s="3" customFormat="1" ht="20.100000000000001" customHeight="1">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row>
    <row r="70" spans="31:56" s="3" customFormat="1" ht="20.100000000000001" customHeight="1">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row>
    <row r="71" spans="31:56" s="3" customFormat="1" ht="20.100000000000001" customHeight="1">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row>
    <row r="72" spans="31:56" s="3" customFormat="1" ht="20.100000000000001" customHeight="1">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row>
    <row r="73" spans="31:56" s="3" customFormat="1" ht="20.100000000000001" customHeight="1">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row>
    <row r="74" spans="31:56" s="3" customFormat="1" ht="20.100000000000001" customHeight="1">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row>
    <row r="75" spans="31:56" s="3" customFormat="1" ht="20.100000000000001" customHeight="1">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row>
    <row r="76" spans="31:56" s="3" customFormat="1" ht="20.100000000000001" customHeight="1">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row>
    <row r="77" spans="31:56" s="3" customFormat="1" ht="20.100000000000001" customHeight="1">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row>
    <row r="78" spans="31:56" s="3" customFormat="1" ht="20.100000000000001" customHeight="1">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row>
    <row r="79" spans="31:56" s="3" customFormat="1" ht="20.100000000000001" customHeight="1">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row>
    <row r="80" spans="31:56" s="3" customFormat="1" ht="20.100000000000001" customHeight="1">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row>
    <row r="81" spans="31:56" s="3" customFormat="1" ht="20.100000000000001" customHeight="1">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row>
    <row r="82" spans="31:56" s="3" customFormat="1" ht="20.100000000000001" customHeight="1">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row>
    <row r="83" spans="31:56" s="3" customFormat="1" ht="20.100000000000001" customHeight="1">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row>
    <row r="84" spans="31:56" s="3" customFormat="1" ht="20.100000000000001" customHeight="1">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row>
    <row r="85" spans="31:56" s="3" customFormat="1" ht="20.100000000000001" customHeight="1">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row>
    <row r="86" spans="31:56" s="3" customFormat="1" ht="20.100000000000001" customHeight="1">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row>
    <row r="87" spans="31:56" s="3" customFormat="1" ht="20.100000000000001" customHeight="1">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row>
    <row r="88" spans="31:56" s="3" customFormat="1" ht="20.100000000000001" customHeight="1">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row>
    <row r="89" spans="31:56" s="3" customFormat="1" ht="20.100000000000001" customHeight="1">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row>
    <row r="90" spans="31:56" s="3" customFormat="1" ht="20.100000000000001" customHeight="1">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row>
    <row r="91" spans="31:56" s="3" customFormat="1" ht="20.100000000000001" customHeight="1">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row>
    <row r="92" spans="31:56" s="3" customFormat="1" ht="20.100000000000001" customHeight="1">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row>
    <row r="93" spans="31:56" s="3" customFormat="1" ht="20.100000000000001" customHeight="1">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row>
    <row r="94" spans="31:56" s="3" customFormat="1" ht="20.100000000000001" customHeight="1">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row>
    <row r="95" spans="31:56" s="3" customFormat="1" ht="20.100000000000001" customHeight="1">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row>
    <row r="96" spans="31:56" s="3" customFormat="1" ht="20.100000000000001" customHeight="1">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row>
    <row r="97" spans="31:56" s="3" customFormat="1" ht="20.100000000000001" customHeight="1">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row>
    <row r="98" spans="31:56" s="3" customFormat="1" ht="20.100000000000001" customHeight="1">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row>
    <row r="99" spans="31:56" s="3" customFormat="1" ht="20.100000000000001" customHeight="1">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row>
    <row r="100" spans="31:56" s="3" customFormat="1" ht="20.100000000000001" customHeight="1">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row>
    <row r="101" spans="31:56" s="3" customFormat="1" ht="20.100000000000001" customHeight="1">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row>
    <row r="102" spans="31:56" s="3" customFormat="1" ht="20.100000000000001" customHeight="1">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row>
    <row r="103" spans="31:56" s="3" customFormat="1" ht="20.100000000000001" customHeight="1">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row>
    <row r="104" spans="31:56" s="3" customFormat="1" ht="20.100000000000001" customHeight="1">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row>
    <row r="105" spans="31:56" s="3" customFormat="1" ht="20.100000000000001" customHeight="1">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row>
    <row r="106" spans="31:56" s="3" customFormat="1" ht="20.100000000000001" customHeight="1">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row>
    <row r="107" spans="31:56" s="3" customFormat="1" ht="20.100000000000001" customHeight="1">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row>
    <row r="108" spans="31:56" s="3" customFormat="1" ht="20.100000000000001" customHeight="1">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row>
    <row r="109" spans="31:56" s="3" customFormat="1" ht="20.100000000000001" customHeight="1">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row>
    <row r="110" spans="31:56" s="3" customFormat="1" ht="20.100000000000001" customHeight="1">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row>
    <row r="111" spans="31:56" s="3" customFormat="1" ht="20.100000000000001" customHeight="1">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row>
    <row r="112" spans="31:56" s="3" customFormat="1" ht="20.100000000000001" customHeight="1">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row>
    <row r="113" spans="31:56" s="3" customFormat="1" ht="20.100000000000001" customHeight="1">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row>
    <row r="114" spans="31:56" s="3" customFormat="1" ht="20.100000000000001" customHeight="1">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row>
    <row r="115" spans="31:56" s="3" customFormat="1" ht="20.100000000000001" customHeight="1">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row>
    <row r="116" spans="31:56" s="3" customFormat="1" ht="20.100000000000001" customHeight="1">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row>
    <row r="117" spans="31:56" s="3" customFormat="1" ht="20.100000000000001" customHeight="1">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row>
    <row r="118" spans="31:56" s="3" customFormat="1" ht="20.100000000000001" customHeight="1">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row>
    <row r="119" spans="31:56" s="3" customFormat="1" ht="20.100000000000001" customHeight="1">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row>
    <row r="120" spans="31:56" s="3" customFormat="1" ht="20.100000000000001" customHeight="1">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row>
    <row r="121" spans="31:56" s="3" customFormat="1" ht="20.100000000000001" customHeight="1">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row>
    <row r="122" spans="31:56" s="3" customFormat="1" ht="20.100000000000001" customHeight="1">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row>
    <row r="123" spans="31:56" s="3" customFormat="1" ht="20.100000000000001" customHeight="1">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row>
    <row r="124" spans="31:56" s="3" customFormat="1" ht="20.100000000000001" customHeight="1">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row>
    <row r="125" spans="31:56" s="3" customFormat="1" ht="20.100000000000001" customHeight="1">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row>
    <row r="126" spans="31:56" s="3" customFormat="1" ht="20.100000000000001" customHeight="1">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row>
    <row r="127" spans="31:56" s="3" customFormat="1" ht="20.100000000000001" customHeight="1">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row>
    <row r="128" spans="31:56" s="3" customFormat="1" ht="20.100000000000001" customHeight="1">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row>
    <row r="129" spans="31:56" s="3" customFormat="1" ht="20.100000000000001" customHeight="1">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row>
    <row r="130" spans="31:56" s="3" customFormat="1" ht="20.100000000000001" customHeight="1">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row>
    <row r="131" spans="31:56" s="3" customFormat="1" ht="20.100000000000001" customHeight="1">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row>
    <row r="132" spans="31:56" s="3" customFormat="1" ht="20.100000000000001" customHeight="1">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row>
    <row r="133" spans="31:56" s="3" customFormat="1" ht="20.100000000000001" customHeight="1">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row>
    <row r="134" spans="31:56" s="3" customFormat="1" ht="20.100000000000001" customHeight="1">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row>
    <row r="135" spans="31:56" s="3" customFormat="1" ht="20.100000000000001" customHeight="1">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row>
    <row r="136" spans="31:56" s="3" customFormat="1" ht="20.100000000000001" customHeight="1">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row>
    <row r="137" spans="31:56" s="3" customFormat="1" ht="20.100000000000001" customHeight="1">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row>
    <row r="138" spans="31:56" s="3" customFormat="1" ht="20.100000000000001" customHeight="1">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row>
    <row r="139" spans="31:56" s="3" customFormat="1" ht="20.100000000000001" customHeight="1">
      <c r="AE139" s="19"/>
      <c r="AF139" s="19"/>
      <c r="AG139" s="19"/>
      <c r="AH139" s="19"/>
      <c r="AI139" s="19"/>
      <c r="AJ139" s="19"/>
      <c r="AK139" s="19"/>
      <c r="AL139" s="19"/>
      <c r="AM139" s="30"/>
      <c r="AN139" s="30"/>
      <c r="AO139" s="30"/>
      <c r="AP139" s="30"/>
      <c r="AQ139" s="19"/>
      <c r="AR139" s="19"/>
      <c r="AS139" s="19"/>
      <c r="AT139" s="19"/>
      <c r="AU139" s="19"/>
      <c r="AV139" s="19"/>
      <c r="AW139" s="19"/>
      <c r="AX139" s="19"/>
      <c r="AY139" s="19"/>
      <c r="AZ139" s="19"/>
      <c r="BA139" s="19"/>
      <c r="BB139" s="19"/>
      <c r="BC139" s="19"/>
      <c r="BD139" s="19"/>
    </row>
    <row r="140" spans="31:56" s="3" customFormat="1" ht="20.100000000000001" customHeight="1">
      <c r="AE140" s="19"/>
      <c r="AF140" s="19"/>
      <c r="AG140" s="19"/>
      <c r="AH140" s="19"/>
      <c r="AI140" s="19"/>
      <c r="AJ140" s="19"/>
      <c r="AK140" s="19"/>
      <c r="AL140" s="19"/>
      <c r="AM140" s="30"/>
      <c r="AN140" s="30"/>
      <c r="AO140" s="30"/>
      <c r="AP140" s="30"/>
      <c r="AQ140" s="19"/>
      <c r="AR140" s="19"/>
      <c r="AS140" s="19"/>
      <c r="AT140" s="19"/>
      <c r="AU140" s="19"/>
      <c r="AV140" s="19"/>
      <c r="AW140" s="19"/>
      <c r="AX140" s="19"/>
      <c r="AY140" s="19"/>
      <c r="AZ140" s="19"/>
      <c r="BA140" s="19"/>
      <c r="BB140" s="19"/>
      <c r="BC140" s="19"/>
      <c r="BD140" s="19"/>
    </row>
    <row r="141" spans="31:56" s="3" customFormat="1" ht="20.100000000000001" customHeight="1">
      <c r="AE141" s="19"/>
      <c r="AF141" s="19"/>
      <c r="AG141" s="19"/>
      <c r="AH141" s="19"/>
      <c r="AI141" s="19"/>
      <c r="AJ141" s="19"/>
      <c r="AK141" s="19"/>
      <c r="AL141" s="19"/>
      <c r="AM141" s="30"/>
      <c r="AN141" s="30"/>
      <c r="AO141" s="30"/>
      <c r="AP141" s="30"/>
      <c r="AQ141" s="19"/>
      <c r="AR141" s="19"/>
      <c r="AS141" s="19"/>
      <c r="AT141" s="19"/>
      <c r="AU141" s="19"/>
      <c r="AV141" s="19"/>
      <c r="AW141" s="19"/>
      <c r="AX141" s="19"/>
      <c r="AY141" s="19"/>
      <c r="AZ141" s="19"/>
      <c r="BA141" s="19"/>
      <c r="BB141" s="19"/>
      <c r="BC141" s="19"/>
      <c r="BD141" s="19"/>
    </row>
    <row r="142" spans="31:56" s="3" customFormat="1" ht="20.100000000000001" customHeight="1">
      <c r="AE142" s="19"/>
      <c r="AF142" s="19"/>
      <c r="AG142" s="19"/>
      <c r="AH142" s="19"/>
      <c r="AI142" s="19"/>
      <c r="AJ142" s="19"/>
      <c r="AK142" s="19"/>
      <c r="AL142" s="19"/>
      <c r="AM142" s="30"/>
      <c r="AN142" s="30"/>
      <c r="AO142" s="30"/>
      <c r="AP142" s="30"/>
      <c r="AQ142" s="19"/>
      <c r="AR142" s="19"/>
      <c r="AS142" s="19"/>
      <c r="AT142" s="19"/>
      <c r="AU142" s="19"/>
      <c r="AV142" s="19"/>
      <c r="AW142" s="19"/>
      <c r="AX142" s="19"/>
      <c r="AY142" s="19"/>
      <c r="AZ142" s="19"/>
      <c r="BA142" s="19"/>
      <c r="BB142" s="19"/>
      <c r="BC142" s="19"/>
      <c r="BD142" s="19"/>
    </row>
    <row r="143" spans="31:56" s="3" customFormat="1" ht="20.100000000000001" customHeight="1">
      <c r="AE143" s="19"/>
      <c r="AF143" s="19"/>
      <c r="AG143" s="19"/>
      <c r="AH143" s="19"/>
      <c r="AI143" s="19"/>
      <c r="AJ143" s="19"/>
      <c r="AK143" s="19"/>
      <c r="AL143" s="19"/>
      <c r="AM143" s="30"/>
      <c r="AN143" s="30"/>
      <c r="AO143" s="30"/>
      <c r="AP143" s="30"/>
      <c r="AQ143" s="19"/>
      <c r="AR143" s="19"/>
      <c r="AS143" s="19"/>
      <c r="AT143" s="19"/>
      <c r="AU143" s="19"/>
      <c r="AV143" s="19"/>
      <c r="AW143" s="19"/>
      <c r="AX143" s="19"/>
      <c r="AY143" s="19"/>
      <c r="AZ143" s="19"/>
      <c r="BA143" s="19"/>
      <c r="BB143" s="19"/>
      <c r="BC143" s="19"/>
      <c r="BD143" s="19"/>
    </row>
    <row r="144" spans="31:56"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sheetData>
  <sheetProtection algorithmName="SHA-512" hashValue="uPkhh1FvkCwcghM0zdwf/vdQzduDzontXeuqugV8z+IraetSXfKR5h+x2jnmTx6asZRsfKkeZK02H2SjXtjYYQ==" saltValue="Q0j4WpkDpDGwBGbrkohogA==" spinCount="100000" sheet="1" selectLockedCells="1"/>
  <mergeCells count="187">
    <mergeCell ref="W45:Y45"/>
    <mergeCell ref="B45:G45"/>
    <mergeCell ref="H45:J45"/>
    <mergeCell ref="K45:M45"/>
    <mergeCell ref="N45:P45"/>
    <mergeCell ref="Q45:S45"/>
    <mergeCell ref="T45:V45"/>
    <mergeCell ref="T43:V43"/>
    <mergeCell ref="W43:Y43"/>
    <mergeCell ref="B44:D44"/>
    <mergeCell ref="E44:G44"/>
    <mergeCell ref="H44:J44"/>
    <mergeCell ref="K44:M44"/>
    <mergeCell ref="N44:P44"/>
    <mergeCell ref="Q44:S44"/>
    <mergeCell ref="T44:V44"/>
    <mergeCell ref="W44:Y44"/>
    <mergeCell ref="B43:D43"/>
    <mergeCell ref="E43:G43"/>
    <mergeCell ref="H43:J43"/>
    <mergeCell ref="K43:M43"/>
    <mergeCell ref="N43:P43"/>
    <mergeCell ref="Q43:S43"/>
    <mergeCell ref="T41:V41"/>
    <mergeCell ref="W41:Y41"/>
    <mergeCell ref="B42:D42"/>
    <mergeCell ref="E42:G42"/>
    <mergeCell ref="H42:J42"/>
    <mergeCell ref="K42:M42"/>
    <mergeCell ref="N42:P42"/>
    <mergeCell ref="Q42:S42"/>
    <mergeCell ref="T42:V42"/>
    <mergeCell ref="W42:Y42"/>
    <mergeCell ref="B41:D41"/>
    <mergeCell ref="E41:G41"/>
    <mergeCell ref="H41:J41"/>
    <mergeCell ref="K41:M41"/>
    <mergeCell ref="N41:P41"/>
    <mergeCell ref="Q41:S41"/>
    <mergeCell ref="T39:V39"/>
    <mergeCell ref="W39:Y39"/>
    <mergeCell ref="B40:D40"/>
    <mergeCell ref="E40:G40"/>
    <mergeCell ref="H40:J40"/>
    <mergeCell ref="K40:M40"/>
    <mergeCell ref="N40:P40"/>
    <mergeCell ref="Q40:S40"/>
    <mergeCell ref="T40:V40"/>
    <mergeCell ref="W40:Y40"/>
    <mergeCell ref="B39:D39"/>
    <mergeCell ref="E39:G39"/>
    <mergeCell ref="H39:J39"/>
    <mergeCell ref="K39:M39"/>
    <mergeCell ref="N39:P39"/>
    <mergeCell ref="Q39:S39"/>
    <mergeCell ref="B38:D38"/>
    <mergeCell ref="E38:G38"/>
    <mergeCell ref="H38:J38"/>
    <mergeCell ref="K38:M38"/>
    <mergeCell ref="N38:P38"/>
    <mergeCell ref="Q38:S38"/>
    <mergeCell ref="T38:V38"/>
    <mergeCell ref="W38:Y38"/>
    <mergeCell ref="B37:D37"/>
    <mergeCell ref="E37:G37"/>
    <mergeCell ref="H37:J37"/>
    <mergeCell ref="K37:M37"/>
    <mergeCell ref="N37:P37"/>
    <mergeCell ref="Q37:S37"/>
    <mergeCell ref="B36:D36"/>
    <mergeCell ref="E36:G36"/>
    <mergeCell ref="H36:J36"/>
    <mergeCell ref="K36:M36"/>
    <mergeCell ref="N36:P36"/>
    <mergeCell ref="Q36:S36"/>
    <mergeCell ref="T36:V36"/>
    <mergeCell ref="W36:Y36"/>
    <mergeCell ref="T37:V37"/>
    <mergeCell ref="W37:Y37"/>
    <mergeCell ref="T33:V34"/>
    <mergeCell ref="W33:Y34"/>
    <mergeCell ref="AJ33:AK33"/>
    <mergeCell ref="B35:D35"/>
    <mergeCell ref="E35:G35"/>
    <mergeCell ref="H35:J35"/>
    <mergeCell ref="K35:M35"/>
    <mergeCell ref="N35:P35"/>
    <mergeCell ref="Q35:S35"/>
    <mergeCell ref="T35:V35"/>
    <mergeCell ref="W35:Y35"/>
    <mergeCell ref="B30:G30"/>
    <mergeCell ref="H30:J30"/>
    <mergeCell ref="K30:M30"/>
    <mergeCell ref="N30:P30"/>
    <mergeCell ref="Q30:S30"/>
    <mergeCell ref="B33:D34"/>
    <mergeCell ref="E33:G34"/>
    <mergeCell ref="H33:J34"/>
    <mergeCell ref="K33:M34"/>
    <mergeCell ref="N33:P34"/>
    <mergeCell ref="Q33:S34"/>
    <mergeCell ref="B29:C29"/>
    <mergeCell ref="D29:G29"/>
    <mergeCell ref="H29:J29"/>
    <mergeCell ref="K29:M29"/>
    <mergeCell ref="N29:P29"/>
    <mergeCell ref="Q29:S29"/>
    <mergeCell ref="B28:C28"/>
    <mergeCell ref="D28:G28"/>
    <mergeCell ref="H28:J28"/>
    <mergeCell ref="K28:M28"/>
    <mergeCell ref="N28:P28"/>
    <mergeCell ref="Q28:S28"/>
    <mergeCell ref="B27:C27"/>
    <mergeCell ref="D27:G27"/>
    <mergeCell ref="H27:J27"/>
    <mergeCell ref="K27:M27"/>
    <mergeCell ref="N27:P27"/>
    <mergeCell ref="Q27:S27"/>
    <mergeCell ref="B26:C26"/>
    <mergeCell ref="D26:G26"/>
    <mergeCell ref="H26:J26"/>
    <mergeCell ref="K26:M26"/>
    <mergeCell ref="N26:P26"/>
    <mergeCell ref="Q26:S26"/>
    <mergeCell ref="B25:C25"/>
    <mergeCell ref="D25:G25"/>
    <mergeCell ref="H25:J25"/>
    <mergeCell ref="K25:M25"/>
    <mergeCell ref="N25:P25"/>
    <mergeCell ref="Q25:S25"/>
    <mergeCell ref="B24:C24"/>
    <mergeCell ref="D24:G24"/>
    <mergeCell ref="H24:J24"/>
    <mergeCell ref="K24:M24"/>
    <mergeCell ref="N24:P24"/>
    <mergeCell ref="Q24:S24"/>
    <mergeCell ref="B23:C23"/>
    <mergeCell ref="D23:G23"/>
    <mergeCell ref="H23:J23"/>
    <mergeCell ref="K23:M23"/>
    <mergeCell ref="N23:P23"/>
    <mergeCell ref="Q23:S23"/>
    <mergeCell ref="N20:P21"/>
    <mergeCell ref="Q20:S21"/>
    <mergeCell ref="B22:C22"/>
    <mergeCell ref="D22:G22"/>
    <mergeCell ref="H22:J22"/>
    <mergeCell ref="K22:M22"/>
    <mergeCell ref="N22:P22"/>
    <mergeCell ref="Q22:S22"/>
    <mergeCell ref="B15:G15"/>
    <mergeCell ref="H15:I15"/>
    <mergeCell ref="B20:C21"/>
    <mergeCell ref="D20:G21"/>
    <mergeCell ref="H20:J21"/>
    <mergeCell ref="K20:M21"/>
    <mergeCell ref="B13:C13"/>
    <mergeCell ref="D13:G13"/>
    <mergeCell ref="H13:I13"/>
    <mergeCell ref="B14:C14"/>
    <mergeCell ref="D14:G14"/>
    <mergeCell ref="H14:I14"/>
    <mergeCell ref="B11:C11"/>
    <mergeCell ref="D11:G11"/>
    <mergeCell ref="H11:I11"/>
    <mergeCell ref="B12:C12"/>
    <mergeCell ref="D12:G12"/>
    <mergeCell ref="H12:I12"/>
    <mergeCell ref="B9:C9"/>
    <mergeCell ref="D9:G9"/>
    <mergeCell ref="H9:I9"/>
    <mergeCell ref="B10:C10"/>
    <mergeCell ref="D10:G10"/>
    <mergeCell ref="H10:I10"/>
    <mergeCell ref="B7:C7"/>
    <mergeCell ref="D7:G7"/>
    <mergeCell ref="H7:I7"/>
    <mergeCell ref="B8:C8"/>
    <mergeCell ref="D8:G8"/>
    <mergeCell ref="H8:I8"/>
    <mergeCell ref="B2:AC2"/>
    <mergeCell ref="K3:N3"/>
    <mergeCell ref="P3:S3"/>
    <mergeCell ref="B5:C6"/>
    <mergeCell ref="D5:G6"/>
    <mergeCell ref="H5:I6"/>
  </mergeCells>
  <phoneticPr fontId="4"/>
  <conditionalFormatting sqref="B22:G29">
    <cfRule type="expression" dxfId="12" priority="38">
      <formula>$AE$2&lt;&gt;2</formula>
    </cfRule>
  </conditionalFormatting>
  <conditionalFormatting sqref="B7:I14">
    <cfRule type="expression" dxfId="11" priority="283" stopIfTrue="1">
      <formula>$AE$2&lt;&gt;2</formula>
    </cfRule>
  </conditionalFormatting>
  <conditionalFormatting sqref="B35:P44">
    <cfRule type="expression" dxfId="10" priority="61" stopIfTrue="1">
      <formula>$AE$2&lt;&gt;2</formula>
    </cfRule>
  </conditionalFormatting>
  <conditionalFormatting sqref="H30:J30">
    <cfRule type="expression" dxfId="9" priority="36">
      <formula>$AE$2&lt;&gt;2</formula>
    </cfRule>
  </conditionalFormatting>
  <conditionalFormatting sqref="H45:J45">
    <cfRule type="expression" dxfId="8" priority="4">
      <formula>$AE$2&lt;&gt;2</formula>
    </cfRule>
  </conditionalFormatting>
  <conditionalFormatting sqref="H22:P29">
    <cfRule type="expression" dxfId="7" priority="211" stopIfTrue="1">
      <formula>$AE$2&lt;&gt;2</formula>
    </cfRule>
  </conditionalFormatting>
  <conditionalFormatting sqref="J3">
    <cfRule type="expression" dxfId="6" priority="348" stopIfTrue="1">
      <formula>$AE$2&lt;&gt;2</formula>
    </cfRule>
  </conditionalFormatting>
  <conditionalFormatting sqref="O3">
    <cfRule type="expression" dxfId="5" priority="347" stopIfTrue="1">
      <formula>$AE$2&lt;&gt;2</formula>
    </cfRule>
  </conditionalFormatting>
  <conditionalFormatting sqref="Q22:S30">
    <cfRule type="expression" dxfId="4" priority="35">
      <formula>$AE$2&lt;&gt;2</formula>
    </cfRule>
  </conditionalFormatting>
  <conditionalFormatting sqref="Q35:Y45">
    <cfRule type="expression" dxfId="3" priority="1">
      <formula>$AE$2&lt;&gt;2</formula>
    </cfRule>
  </conditionalFormatting>
  <dataValidations count="2">
    <dataValidation type="list" allowBlank="1" showInputMessage="1" showErrorMessage="1" sqref="E35:G44" xr:uid="{00000000-0002-0000-0A00-000000000000}">
      <formula1>方位</formula1>
    </dataValidation>
    <dataValidation type="list" allowBlank="1" showInputMessage="1" showErrorMessage="1" sqref="D7:G14" xr:uid="{00000000-0002-0000-0A00-000001000000}">
      <formula1>"基礎断熱,玄関土間,勝手口土間,その他"</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8001" r:id="rId4" name="Check Box 1">
              <controlPr defaultSize="0" autoFill="0" autoLine="0" autoPict="0">
                <anchor moveWithCells="1">
                  <from>
                    <xdr:col>14</xdr:col>
                    <xdr:colOff>9525</xdr:colOff>
                    <xdr:row>34</xdr:row>
                    <xdr:rowOff>19050</xdr:rowOff>
                  </from>
                  <to>
                    <xdr:col>15</xdr:col>
                    <xdr:colOff>57150</xdr:colOff>
                    <xdr:row>34</xdr:row>
                    <xdr:rowOff>228600</xdr:rowOff>
                  </to>
                </anchor>
              </controlPr>
            </control>
          </mc:Choice>
        </mc:AlternateContent>
        <mc:AlternateContent xmlns:mc="http://schemas.openxmlformats.org/markup-compatibility/2006">
          <mc:Choice Requires="x14">
            <control shapeId="128002" r:id="rId5" name="Check Box 2">
              <controlPr defaultSize="0" autoFill="0" autoLine="0" autoPict="0">
                <anchor moveWithCells="1">
                  <from>
                    <xdr:col>14</xdr:col>
                    <xdr:colOff>9525</xdr:colOff>
                    <xdr:row>35</xdr:row>
                    <xdr:rowOff>19050</xdr:rowOff>
                  </from>
                  <to>
                    <xdr:col>15</xdr:col>
                    <xdr:colOff>57150</xdr:colOff>
                    <xdr:row>35</xdr:row>
                    <xdr:rowOff>228600</xdr:rowOff>
                  </to>
                </anchor>
              </controlPr>
            </control>
          </mc:Choice>
        </mc:AlternateContent>
        <mc:AlternateContent xmlns:mc="http://schemas.openxmlformats.org/markup-compatibility/2006">
          <mc:Choice Requires="x14">
            <control shapeId="128003" r:id="rId6" name="Check Box 3">
              <controlPr defaultSize="0" autoFill="0" autoLine="0" autoPict="0">
                <anchor moveWithCells="1">
                  <from>
                    <xdr:col>14</xdr:col>
                    <xdr:colOff>9525</xdr:colOff>
                    <xdr:row>36</xdr:row>
                    <xdr:rowOff>19050</xdr:rowOff>
                  </from>
                  <to>
                    <xdr:col>15</xdr:col>
                    <xdr:colOff>57150</xdr:colOff>
                    <xdr:row>36</xdr:row>
                    <xdr:rowOff>228600</xdr:rowOff>
                  </to>
                </anchor>
              </controlPr>
            </control>
          </mc:Choice>
        </mc:AlternateContent>
        <mc:AlternateContent xmlns:mc="http://schemas.openxmlformats.org/markup-compatibility/2006">
          <mc:Choice Requires="x14">
            <control shapeId="128004" r:id="rId7" name="Check Box 4">
              <controlPr defaultSize="0" autoFill="0" autoLine="0" autoPict="0">
                <anchor moveWithCells="1">
                  <from>
                    <xdr:col>14</xdr:col>
                    <xdr:colOff>9525</xdr:colOff>
                    <xdr:row>37</xdr:row>
                    <xdr:rowOff>19050</xdr:rowOff>
                  </from>
                  <to>
                    <xdr:col>15</xdr:col>
                    <xdr:colOff>57150</xdr:colOff>
                    <xdr:row>37</xdr:row>
                    <xdr:rowOff>228600</xdr:rowOff>
                  </to>
                </anchor>
              </controlPr>
            </control>
          </mc:Choice>
        </mc:AlternateContent>
        <mc:AlternateContent xmlns:mc="http://schemas.openxmlformats.org/markup-compatibility/2006">
          <mc:Choice Requires="x14">
            <control shapeId="128005" r:id="rId8" name="Check Box 5">
              <controlPr defaultSize="0" autoFill="0" autoLine="0" autoPict="0">
                <anchor moveWithCells="1">
                  <from>
                    <xdr:col>14</xdr:col>
                    <xdr:colOff>9525</xdr:colOff>
                    <xdr:row>38</xdr:row>
                    <xdr:rowOff>19050</xdr:rowOff>
                  </from>
                  <to>
                    <xdr:col>15</xdr:col>
                    <xdr:colOff>57150</xdr:colOff>
                    <xdr:row>38</xdr:row>
                    <xdr:rowOff>228600</xdr:rowOff>
                  </to>
                </anchor>
              </controlPr>
            </control>
          </mc:Choice>
        </mc:AlternateContent>
        <mc:AlternateContent xmlns:mc="http://schemas.openxmlformats.org/markup-compatibility/2006">
          <mc:Choice Requires="x14">
            <control shapeId="128006" r:id="rId9" name="Check Box 6">
              <controlPr defaultSize="0" autoFill="0" autoLine="0" autoPict="0">
                <anchor moveWithCells="1">
                  <from>
                    <xdr:col>14</xdr:col>
                    <xdr:colOff>9525</xdr:colOff>
                    <xdr:row>21</xdr:row>
                    <xdr:rowOff>9525</xdr:rowOff>
                  </from>
                  <to>
                    <xdr:col>15</xdr:col>
                    <xdr:colOff>38100</xdr:colOff>
                    <xdr:row>21</xdr:row>
                    <xdr:rowOff>219075</xdr:rowOff>
                  </to>
                </anchor>
              </controlPr>
            </control>
          </mc:Choice>
        </mc:AlternateContent>
        <mc:AlternateContent xmlns:mc="http://schemas.openxmlformats.org/markup-compatibility/2006">
          <mc:Choice Requires="x14">
            <control shapeId="128007" r:id="rId10" name="Check Box 7">
              <controlPr defaultSize="0" autoFill="0" autoLine="0" autoPict="0">
                <anchor moveWithCells="1">
                  <from>
                    <xdr:col>14</xdr:col>
                    <xdr:colOff>9525</xdr:colOff>
                    <xdr:row>22</xdr:row>
                    <xdr:rowOff>9525</xdr:rowOff>
                  </from>
                  <to>
                    <xdr:col>15</xdr:col>
                    <xdr:colOff>38100</xdr:colOff>
                    <xdr:row>22</xdr:row>
                    <xdr:rowOff>219075</xdr:rowOff>
                  </to>
                </anchor>
              </controlPr>
            </control>
          </mc:Choice>
        </mc:AlternateContent>
        <mc:AlternateContent xmlns:mc="http://schemas.openxmlformats.org/markup-compatibility/2006">
          <mc:Choice Requires="x14">
            <control shapeId="128008" r:id="rId11" name="Check Box 8">
              <controlPr defaultSize="0" autoFill="0" autoLine="0" autoPict="0">
                <anchor moveWithCells="1">
                  <from>
                    <xdr:col>14</xdr:col>
                    <xdr:colOff>9525</xdr:colOff>
                    <xdr:row>23</xdr:row>
                    <xdr:rowOff>9525</xdr:rowOff>
                  </from>
                  <to>
                    <xdr:col>15</xdr:col>
                    <xdr:colOff>38100</xdr:colOff>
                    <xdr:row>23</xdr:row>
                    <xdr:rowOff>219075</xdr:rowOff>
                  </to>
                </anchor>
              </controlPr>
            </control>
          </mc:Choice>
        </mc:AlternateContent>
        <mc:AlternateContent xmlns:mc="http://schemas.openxmlformats.org/markup-compatibility/2006">
          <mc:Choice Requires="x14">
            <control shapeId="128009" r:id="rId12" name="Check Box 9">
              <controlPr defaultSize="0" autoFill="0" autoLine="0" autoPict="0">
                <anchor moveWithCells="1">
                  <from>
                    <xdr:col>14</xdr:col>
                    <xdr:colOff>9525</xdr:colOff>
                    <xdr:row>24</xdr:row>
                    <xdr:rowOff>9525</xdr:rowOff>
                  </from>
                  <to>
                    <xdr:col>15</xdr:col>
                    <xdr:colOff>38100</xdr:colOff>
                    <xdr:row>24</xdr:row>
                    <xdr:rowOff>219075</xdr:rowOff>
                  </to>
                </anchor>
              </controlPr>
            </control>
          </mc:Choice>
        </mc:AlternateContent>
        <mc:AlternateContent xmlns:mc="http://schemas.openxmlformats.org/markup-compatibility/2006">
          <mc:Choice Requires="x14">
            <control shapeId="128010" r:id="rId13" name="Check Box 10">
              <controlPr defaultSize="0" autoFill="0" autoLine="0" autoPict="0">
                <anchor moveWithCells="1">
                  <from>
                    <xdr:col>14</xdr:col>
                    <xdr:colOff>9525</xdr:colOff>
                    <xdr:row>25</xdr:row>
                    <xdr:rowOff>9525</xdr:rowOff>
                  </from>
                  <to>
                    <xdr:col>15</xdr:col>
                    <xdr:colOff>38100</xdr:colOff>
                    <xdr:row>25</xdr:row>
                    <xdr:rowOff>219075</xdr:rowOff>
                  </to>
                </anchor>
              </controlPr>
            </control>
          </mc:Choice>
        </mc:AlternateContent>
        <mc:AlternateContent xmlns:mc="http://schemas.openxmlformats.org/markup-compatibility/2006">
          <mc:Choice Requires="x14">
            <control shapeId="128011" r:id="rId14" name="Check Box 11">
              <controlPr defaultSize="0" autoFill="0" autoLine="0" autoPict="0">
                <anchor moveWithCells="1">
                  <from>
                    <xdr:col>14</xdr:col>
                    <xdr:colOff>9525</xdr:colOff>
                    <xdr:row>26</xdr:row>
                    <xdr:rowOff>9525</xdr:rowOff>
                  </from>
                  <to>
                    <xdr:col>15</xdr:col>
                    <xdr:colOff>38100</xdr:colOff>
                    <xdr:row>26</xdr:row>
                    <xdr:rowOff>219075</xdr:rowOff>
                  </to>
                </anchor>
              </controlPr>
            </control>
          </mc:Choice>
        </mc:AlternateContent>
        <mc:AlternateContent xmlns:mc="http://schemas.openxmlformats.org/markup-compatibility/2006">
          <mc:Choice Requires="x14">
            <control shapeId="128012" r:id="rId15" name="Check Box 12">
              <controlPr defaultSize="0" autoFill="0" autoLine="0" autoPict="0">
                <anchor moveWithCells="1">
                  <from>
                    <xdr:col>14</xdr:col>
                    <xdr:colOff>9525</xdr:colOff>
                    <xdr:row>27</xdr:row>
                    <xdr:rowOff>9525</xdr:rowOff>
                  </from>
                  <to>
                    <xdr:col>15</xdr:col>
                    <xdr:colOff>38100</xdr:colOff>
                    <xdr:row>27</xdr:row>
                    <xdr:rowOff>219075</xdr:rowOff>
                  </to>
                </anchor>
              </controlPr>
            </control>
          </mc:Choice>
        </mc:AlternateContent>
        <mc:AlternateContent xmlns:mc="http://schemas.openxmlformats.org/markup-compatibility/2006">
          <mc:Choice Requires="x14">
            <control shapeId="128013" r:id="rId16" name="Check Box 13">
              <controlPr defaultSize="0" autoFill="0" autoLine="0" autoPict="0">
                <anchor moveWithCells="1">
                  <from>
                    <xdr:col>14</xdr:col>
                    <xdr:colOff>9525</xdr:colOff>
                    <xdr:row>28</xdr:row>
                    <xdr:rowOff>9525</xdr:rowOff>
                  </from>
                  <to>
                    <xdr:col>15</xdr:col>
                    <xdr:colOff>38100</xdr:colOff>
                    <xdr:row>28</xdr:row>
                    <xdr:rowOff>219075</xdr:rowOff>
                  </to>
                </anchor>
              </controlPr>
            </control>
          </mc:Choice>
        </mc:AlternateContent>
        <mc:AlternateContent xmlns:mc="http://schemas.openxmlformats.org/markup-compatibility/2006">
          <mc:Choice Requires="x14">
            <control shapeId="128014" r:id="rId17" name="Check Box 14">
              <controlPr defaultSize="0" autoFill="0" autoLine="0" autoPict="0">
                <anchor moveWithCells="1">
                  <from>
                    <xdr:col>14</xdr:col>
                    <xdr:colOff>9525</xdr:colOff>
                    <xdr:row>39</xdr:row>
                    <xdr:rowOff>19050</xdr:rowOff>
                  </from>
                  <to>
                    <xdr:col>15</xdr:col>
                    <xdr:colOff>57150</xdr:colOff>
                    <xdr:row>39</xdr:row>
                    <xdr:rowOff>228600</xdr:rowOff>
                  </to>
                </anchor>
              </controlPr>
            </control>
          </mc:Choice>
        </mc:AlternateContent>
        <mc:AlternateContent xmlns:mc="http://schemas.openxmlformats.org/markup-compatibility/2006">
          <mc:Choice Requires="x14">
            <control shapeId="128015" r:id="rId18" name="Check Box 15">
              <controlPr defaultSize="0" autoFill="0" autoLine="0" autoPict="0">
                <anchor moveWithCells="1">
                  <from>
                    <xdr:col>14</xdr:col>
                    <xdr:colOff>9525</xdr:colOff>
                    <xdr:row>40</xdr:row>
                    <xdr:rowOff>19050</xdr:rowOff>
                  </from>
                  <to>
                    <xdr:col>15</xdr:col>
                    <xdr:colOff>57150</xdr:colOff>
                    <xdr:row>40</xdr:row>
                    <xdr:rowOff>228600</xdr:rowOff>
                  </to>
                </anchor>
              </controlPr>
            </control>
          </mc:Choice>
        </mc:AlternateContent>
        <mc:AlternateContent xmlns:mc="http://schemas.openxmlformats.org/markup-compatibility/2006">
          <mc:Choice Requires="x14">
            <control shapeId="128016" r:id="rId19" name="Check Box 16">
              <controlPr defaultSize="0" autoFill="0" autoLine="0" autoPict="0">
                <anchor moveWithCells="1">
                  <from>
                    <xdr:col>14</xdr:col>
                    <xdr:colOff>9525</xdr:colOff>
                    <xdr:row>41</xdr:row>
                    <xdr:rowOff>19050</xdr:rowOff>
                  </from>
                  <to>
                    <xdr:col>15</xdr:col>
                    <xdr:colOff>57150</xdr:colOff>
                    <xdr:row>41</xdr:row>
                    <xdr:rowOff>228600</xdr:rowOff>
                  </to>
                </anchor>
              </controlPr>
            </control>
          </mc:Choice>
        </mc:AlternateContent>
        <mc:AlternateContent xmlns:mc="http://schemas.openxmlformats.org/markup-compatibility/2006">
          <mc:Choice Requires="x14">
            <control shapeId="128017" r:id="rId20" name="Check Box 17">
              <controlPr defaultSize="0" autoFill="0" autoLine="0" autoPict="0">
                <anchor moveWithCells="1">
                  <from>
                    <xdr:col>14</xdr:col>
                    <xdr:colOff>9525</xdr:colOff>
                    <xdr:row>42</xdr:row>
                    <xdr:rowOff>19050</xdr:rowOff>
                  </from>
                  <to>
                    <xdr:col>15</xdr:col>
                    <xdr:colOff>57150</xdr:colOff>
                    <xdr:row>42</xdr:row>
                    <xdr:rowOff>228600</xdr:rowOff>
                  </to>
                </anchor>
              </controlPr>
            </control>
          </mc:Choice>
        </mc:AlternateContent>
        <mc:AlternateContent xmlns:mc="http://schemas.openxmlformats.org/markup-compatibility/2006">
          <mc:Choice Requires="x14">
            <control shapeId="128018" r:id="rId21" name="Check Box 18">
              <controlPr defaultSize="0" autoFill="0" autoLine="0" autoPict="0">
                <anchor moveWithCells="1">
                  <from>
                    <xdr:col>14</xdr:col>
                    <xdr:colOff>9525</xdr:colOff>
                    <xdr:row>43</xdr:row>
                    <xdr:rowOff>19050</xdr:rowOff>
                  </from>
                  <to>
                    <xdr:col>15</xdr:col>
                    <xdr:colOff>57150</xdr:colOff>
                    <xdr:row>43</xdr:row>
                    <xdr:rowOff>228600</xdr:rowOff>
                  </to>
                </anchor>
              </controlPr>
            </control>
          </mc:Choice>
        </mc:AlternateContent>
        <mc:AlternateContent xmlns:mc="http://schemas.openxmlformats.org/markup-compatibility/2006">
          <mc:Choice Requires="x14">
            <control shapeId="128019" r:id="rId22" name="Check Box 19">
              <controlPr defaultSize="0" autoFill="0" autoLine="0" autoPict="0">
                <anchor moveWithCells="1">
                  <from>
                    <xdr:col>14</xdr:col>
                    <xdr:colOff>9525</xdr:colOff>
                    <xdr:row>38</xdr:row>
                    <xdr:rowOff>19050</xdr:rowOff>
                  </from>
                  <to>
                    <xdr:col>15</xdr:col>
                    <xdr:colOff>57150</xdr:colOff>
                    <xdr:row>38</xdr:row>
                    <xdr:rowOff>228600</xdr:rowOff>
                  </to>
                </anchor>
              </controlPr>
            </control>
          </mc:Choice>
        </mc:AlternateContent>
        <mc:AlternateContent xmlns:mc="http://schemas.openxmlformats.org/markup-compatibility/2006">
          <mc:Choice Requires="x14">
            <control shapeId="128020" r:id="rId23" name="Check Box 20">
              <controlPr defaultSize="0" autoFill="0" autoLine="0" autoPict="0">
                <anchor moveWithCells="1">
                  <from>
                    <xdr:col>14</xdr:col>
                    <xdr:colOff>9525</xdr:colOff>
                    <xdr:row>39</xdr:row>
                    <xdr:rowOff>19050</xdr:rowOff>
                  </from>
                  <to>
                    <xdr:col>15</xdr:col>
                    <xdr:colOff>57150</xdr:colOff>
                    <xdr:row>39</xdr:row>
                    <xdr:rowOff>228600</xdr:rowOff>
                  </to>
                </anchor>
              </controlPr>
            </control>
          </mc:Choice>
        </mc:AlternateContent>
        <mc:AlternateContent xmlns:mc="http://schemas.openxmlformats.org/markup-compatibility/2006">
          <mc:Choice Requires="x14">
            <control shapeId="128021" r:id="rId24" name="Check Box 21">
              <controlPr defaultSize="0" autoFill="0" autoLine="0" autoPict="0">
                <anchor moveWithCells="1">
                  <from>
                    <xdr:col>14</xdr:col>
                    <xdr:colOff>9525</xdr:colOff>
                    <xdr:row>40</xdr:row>
                    <xdr:rowOff>19050</xdr:rowOff>
                  </from>
                  <to>
                    <xdr:col>15</xdr:col>
                    <xdr:colOff>57150</xdr:colOff>
                    <xdr:row>40</xdr:row>
                    <xdr:rowOff>228600</xdr:rowOff>
                  </to>
                </anchor>
              </controlPr>
            </control>
          </mc:Choice>
        </mc:AlternateContent>
        <mc:AlternateContent xmlns:mc="http://schemas.openxmlformats.org/markup-compatibility/2006">
          <mc:Choice Requires="x14">
            <control shapeId="128022" r:id="rId25" name="Check Box 22">
              <controlPr defaultSize="0" autoFill="0" autoLine="0" autoPict="0">
                <anchor moveWithCells="1">
                  <from>
                    <xdr:col>14</xdr:col>
                    <xdr:colOff>9525</xdr:colOff>
                    <xdr:row>41</xdr:row>
                    <xdr:rowOff>19050</xdr:rowOff>
                  </from>
                  <to>
                    <xdr:col>15</xdr:col>
                    <xdr:colOff>57150</xdr:colOff>
                    <xdr:row>41</xdr:row>
                    <xdr:rowOff>228600</xdr:rowOff>
                  </to>
                </anchor>
              </controlPr>
            </control>
          </mc:Choice>
        </mc:AlternateContent>
        <mc:AlternateContent xmlns:mc="http://schemas.openxmlformats.org/markup-compatibility/2006">
          <mc:Choice Requires="x14">
            <control shapeId="128023" r:id="rId26" name="Check Box 23">
              <controlPr defaultSize="0" autoFill="0" autoLine="0" autoPict="0">
                <anchor moveWithCells="1">
                  <from>
                    <xdr:col>14</xdr:col>
                    <xdr:colOff>9525</xdr:colOff>
                    <xdr:row>42</xdr:row>
                    <xdr:rowOff>19050</xdr:rowOff>
                  </from>
                  <to>
                    <xdr:col>15</xdr:col>
                    <xdr:colOff>57150</xdr:colOff>
                    <xdr:row>42</xdr:row>
                    <xdr:rowOff>228600</xdr:rowOff>
                  </to>
                </anchor>
              </controlPr>
            </control>
          </mc:Choice>
        </mc:AlternateContent>
        <mc:AlternateContent xmlns:mc="http://schemas.openxmlformats.org/markup-compatibility/2006">
          <mc:Choice Requires="x14">
            <control shapeId="128024" r:id="rId27" name="Option Button 24">
              <controlPr defaultSize="0" autoFill="0" autoLine="0" autoPict="0">
                <anchor moveWithCells="1">
                  <from>
                    <xdr:col>9</xdr:col>
                    <xdr:colOff>28575</xdr:colOff>
                    <xdr:row>2</xdr:row>
                    <xdr:rowOff>47625</xdr:rowOff>
                  </from>
                  <to>
                    <xdr:col>13</xdr:col>
                    <xdr:colOff>219075</xdr:colOff>
                    <xdr:row>2</xdr:row>
                    <xdr:rowOff>285750</xdr:rowOff>
                  </to>
                </anchor>
              </controlPr>
            </control>
          </mc:Choice>
        </mc:AlternateContent>
        <mc:AlternateContent xmlns:mc="http://schemas.openxmlformats.org/markup-compatibility/2006">
          <mc:Choice Requires="x14">
            <control shapeId="128025" r:id="rId28" name="Option Button 25">
              <controlPr defaultSize="0" autoFill="0" autoLine="0" autoPict="0">
                <anchor moveWithCells="1">
                  <from>
                    <xdr:col>14</xdr:col>
                    <xdr:colOff>28575</xdr:colOff>
                    <xdr:row>2</xdr:row>
                    <xdr:rowOff>57150</xdr:rowOff>
                  </from>
                  <to>
                    <xdr:col>18</xdr:col>
                    <xdr:colOff>219075</xdr:colOff>
                    <xdr:row>2</xdr:row>
                    <xdr:rowOff>295275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8" tint="0.79998168889431442"/>
  </sheetPr>
  <dimension ref="A1:AK16"/>
  <sheetViews>
    <sheetView view="pageBreakPreview" zoomScale="85" zoomScaleNormal="100" zoomScaleSheetLayoutView="85" workbookViewId="0">
      <selection activeCell="K6" sqref="K6:AC6"/>
    </sheetView>
  </sheetViews>
  <sheetFormatPr defaultColWidth="9" defaultRowHeight="13.5"/>
  <cols>
    <col min="1" max="26" width="4.125" style="58" customWidth="1"/>
    <col min="27" max="29" width="2.5" style="58" customWidth="1"/>
    <col min="30" max="30" width="4.125" style="58" customWidth="1"/>
    <col min="31" max="35" width="4.125" style="58" hidden="1" customWidth="1"/>
    <col min="36" max="36" width="6" style="58" hidden="1" customWidth="1"/>
    <col min="37" max="37" width="4.125" style="58" hidden="1" customWidth="1"/>
    <col min="38" max="45" width="4.125" style="58" customWidth="1"/>
    <col min="46" max="16384" width="9" style="58"/>
  </cols>
  <sheetData>
    <row r="1" spans="1:37" ht="27.75" customHeight="1">
      <c r="A1" s="535" t="s">
        <v>220</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row>
    <row r="2" spans="1:37" ht="81" customHeight="1">
      <c r="A2" s="536" t="s">
        <v>280</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E2" s="83">
        <f>共通条件・結果!AE2</f>
        <v>1</v>
      </c>
    </row>
    <row r="3" spans="1:37" ht="26.25" customHeight="1" thickBot="1">
      <c r="A3" s="59"/>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2" t="s">
        <v>271</v>
      </c>
      <c r="AF3" s="60"/>
      <c r="AG3" s="60"/>
      <c r="AH3" s="60"/>
      <c r="AI3" s="60"/>
      <c r="AJ3" s="60"/>
      <c r="AK3" s="60"/>
    </row>
    <row r="4" spans="1:37" ht="26.25" customHeight="1">
      <c r="A4" s="538" t="s">
        <v>34</v>
      </c>
      <c r="B4" s="530"/>
      <c r="C4" s="530" t="s">
        <v>35</v>
      </c>
      <c r="D4" s="530"/>
      <c r="E4" s="530"/>
      <c r="F4" s="530"/>
      <c r="G4" s="529" t="s">
        <v>221</v>
      </c>
      <c r="H4" s="530"/>
      <c r="I4" s="529" t="s">
        <v>222</v>
      </c>
      <c r="J4" s="530"/>
      <c r="K4" s="529" t="s">
        <v>223</v>
      </c>
      <c r="L4" s="530"/>
      <c r="M4" s="529" t="s">
        <v>224</v>
      </c>
      <c r="N4" s="530"/>
      <c r="O4" s="529" t="s">
        <v>225</v>
      </c>
      <c r="P4" s="529"/>
      <c r="Q4" s="529" t="s">
        <v>226</v>
      </c>
      <c r="R4" s="529"/>
      <c r="S4" s="529" t="s">
        <v>227</v>
      </c>
      <c r="T4" s="530"/>
      <c r="U4" s="529" t="s">
        <v>228</v>
      </c>
      <c r="V4" s="530"/>
      <c r="W4" s="529" t="s">
        <v>229</v>
      </c>
      <c r="X4" s="530"/>
      <c r="Y4" s="529" t="s">
        <v>230</v>
      </c>
      <c r="Z4" s="530"/>
      <c r="AA4" s="529" t="s">
        <v>294</v>
      </c>
      <c r="AB4" s="530"/>
      <c r="AC4" s="532"/>
      <c r="AD4" s="60"/>
      <c r="AE4" s="60"/>
      <c r="AF4" s="534"/>
      <c r="AG4" s="534"/>
      <c r="AH4" s="534"/>
      <c r="AI4" s="534"/>
      <c r="AJ4" s="534"/>
      <c r="AK4" s="60"/>
    </row>
    <row r="5" spans="1:37" ht="26.25" customHeight="1" thickBot="1">
      <c r="A5" s="539"/>
      <c r="B5" s="531"/>
      <c r="C5" s="531"/>
      <c r="D5" s="531"/>
      <c r="E5" s="531"/>
      <c r="F5" s="531"/>
      <c r="G5" s="531"/>
      <c r="H5" s="531"/>
      <c r="I5" s="531"/>
      <c r="J5" s="531"/>
      <c r="K5" s="531"/>
      <c r="L5" s="531"/>
      <c r="M5" s="531"/>
      <c r="N5" s="531"/>
      <c r="O5" s="540"/>
      <c r="P5" s="540"/>
      <c r="Q5" s="540"/>
      <c r="R5" s="540"/>
      <c r="S5" s="531"/>
      <c r="T5" s="531"/>
      <c r="U5" s="531"/>
      <c r="V5" s="531"/>
      <c r="W5" s="531"/>
      <c r="X5" s="531"/>
      <c r="Y5" s="531"/>
      <c r="Z5" s="531"/>
      <c r="AA5" s="531"/>
      <c r="AB5" s="531"/>
      <c r="AC5" s="533"/>
      <c r="AD5" s="60"/>
      <c r="AE5" s="61" t="s">
        <v>231</v>
      </c>
      <c r="AF5" s="62" t="s">
        <v>232</v>
      </c>
      <c r="AG5" s="63" t="s">
        <v>233</v>
      </c>
      <c r="AH5" s="62" t="s">
        <v>234</v>
      </c>
      <c r="AI5" s="62" t="s">
        <v>235</v>
      </c>
      <c r="AJ5" s="62" t="s">
        <v>236</v>
      </c>
      <c r="AK5" s="60"/>
    </row>
    <row r="6" spans="1:37" ht="26.25" customHeight="1">
      <c r="A6" s="526"/>
      <c r="B6" s="527"/>
      <c r="C6" s="528"/>
      <c r="D6" s="528"/>
      <c r="E6" s="528"/>
      <c r="F6" s="528"/>
      <c r="G6" s="524"/>
      <c r="H6" s="524"/>
      <c r="I6" s="524"/>
      <c r="J6" s="524"/>
      <c r="K6" s="524"/>
      <c r="L6" s="524"/>
      <c r="M6" s="524"/>
      <c r="N6" s="524"/>
      <c r="O6" s="524"/>
      <c r="P6" s="524"/>
      <c r="Q6" s="524"/>
      <c r="R6" s="524"/>
      <c r="S6" s="524"/>
      <c r="T6" s="524"/>
      <c r="U6" s="524"/>
      <c r="V6" s="524"/>
      <c r="W6" s="524"/>
      <c r="X6" s="524"/>
      <c r="Y6" s="525" t="str">
        <f>IF(Q6="","",IF(-1&lt;=Q6,"(1)",IF(G6+M6&gt;=3,"(3)1","(3)2")))</f>
        <v/>
      </c>
      <c r="Z6" s="525"/>
      <c r="AA6" s="522" t="str">
        <f>IF(Q6="","",IF(IF(Y6="(1)",AF6,AH6)&lt;0.05,"0.05",IF(Y6="(1)",AF6,AH6)))</f>
        <v/>
      </c>
      <c r="AB6" s="522"/>
      <c r="AC6" s="523"/>
      <c r="AD6" s="60"/>
      <c r="AE6" s="61">
        <f>IF(O6&gt;0.4,"0.4",O6)</f>
        <v>0</v>
      </c>
      <c r="AF6" s="61">
        <f>1.8-1.36*(G6*(AE6+S6)+M6*(AE6-Q6))^0.15-0.01*(6.14-G6)*((I6+0.5*K6)*AG6)^0.5</f>
        <v>1.8</v>
      </c>
      <c r="AG6" s="61">
        <f>IF(MAX(U6,W6)&lt;=0.9,MAX(U6,W6),"0.9")</f>
        <v>0</v>
      </c>
      <c r="AH6" s="61">
        <f>IF((G6+M6)&gt;=3,AI6,AJ6)</f>
        <v>1.8</v>
      </c>
      <c r="AI6" s="61">
        <f>1.8-1.47*(G6+M6)^0.08</f>
        <v>1.8</v>
      </c>
      <c r="AJ6" s="61">
        <f>1.8-1.36*(G6+M6)^0.15</f>
        <v>1.8</v>
      </c>
      <c r="AK6" s="60"/>
    </row>
    <row r="7" spans="1:37" ht="26.25" customHeight="1">
      <c r="A7" s="519"/>
      <c r="B7" s="520"/>
      <c r="C7" s="521"/>
      <c r="D7" s="521"/>
      <c r="E7" s="521"/>
      <c r="F7" s="521"/>
      <c r="G7" s="516"/>
      <c r="H7" s="516"/>
      <c r="I7" s="516"/>
      <c r="J7" s="516"/>
      <c r="K7" s="516"/>
      <c r="L7" s="516"/>
      <c r="M7" s="516"/>
      <c r="N7" s="516"/>
      <c r="O7" s="516"/>
      <c r="P7" s="516"/>
      <c r="Q7" s="516"/>
      <c r="R7" s="516"/>
      <c r="S7" s="516"/>
      <c r="T7" s="516"/>
      <c r="U7" s="516"/>
      <c r="V7" s="516"/>
      <c r="W7" s="516"/>
      <c r="X7" s="516"/>
      <c r="Y7" s="517" t="str">
        <f>IF(Q7="","",IF(-1&lt;=Q7,"(1)",IF(G7+M7&gt;=3,"(3)1","(3)2")))</f>
        <v/>
      </c>
      <c r="Z7" s="518"/>
      <c r="AA7" s="511" t="str">
        <f t="shared" ref="AA7:AA13" si="0">IF(Q7="","",IF(IF(Y7="(1)",AF7,AH7)&lt;0.05,"0.05",IF(Y7="(1)",AF7,AH7)))</f>
        <v/>
      </c>
      <c r="AB7" s="511"/>
      <c r="AC7" s="512"/>
      <c r="AD7" s="60"/>
      <c r="AE7" s="61">
        <f>IF(O7&gt;0.4,"0.4",O7)</f>
        <v>0</v>
      </c>
      <c r="AF7" s="61">
        <f>1.8-1.36*(G7*(AE7+S7)+M7*(AE7-Q7))^0.15-0.01*(6.14-G7)*((I7+0.5*K7)*AG7)^0.5</f>
        <v>1.8</v>
      </c>
      <c r="AG7" s="61">
        <f>IF(MAX(U7,W7)&lt;=0.9,MAX(U7,W7),"0.9")</f>
        <v>0</v>
      </c>
      <c r="AH7" s="61">
        <f>IF((G7+M7)&gt;=3,AI7,AJ7)</f>
        <v>1.8</v>
      </c>
      <c r="AI7" s="61">
        <f>1.8-1.47*(G7+M7)^0.08</f>
        <v>1.8</v>
      </c>
      <c r="AJ7" s="61">
        <f>1.8-1.36*(G7+M7)^0.15</f>
        <v>1.8</v>
      </c>
      <c r="AK7" s="60"/>
    </row>
    <row r="8" spans="1:37" ht="26.25" customHeight="1">
      <c r="A8" s="519"/>
      <c r="B8" s="520"/>
      <c r="C8" s="521"/>
      <c r="D8" s="521"/>
      <c r="E8" s="521"/>
      <c r="F8" s="521"/>
      <c r="G8" s="516"/>
      <c r="H8" s="516"/>
      <c r="I8" s="516"/>
      <c r="J8" s="516"/>
      <c r="K8" s="516"/>
      <c r="L8" s="516"/>
      <c r="M8" s="516"/>
      <c r="N8" s="516"/>
      <c r="O8" s="516"/>
      <c r="P8" s="516"/>
      <c r="Q8" s="516"/>
      <c r="R8" s="516"/>
      <c r="S8" s="516"/>
      <c r="T8" s="516"/>
      <c r="U8" s="516"/>
      <c r="V8" s="516"/>
      <c r="W8" s="516"/>
      <c r="X8" s="516"/>
      <c r="Y8" s="517" t="str">
        <f t="shared" ref="Y8:Y13" si="1">IF(Q8="","",IF(-1&lt;=Q8,"(1)",IF(G8+M8&gt;=3,"(3)1","(3)2")))</f>
        <v/>
      </c>
      <c r="Z8" s="518"/>
      <c r="AA8" s="511" t="str">
        <f t="shared" si="0"/>
        <v/>
      </c>
      <c r="AB8" s="511"/>
      <c r="AC8" s="512"/>
      <c r="AD8" s="60"/>
      <c r="AE8" s="61">
        <f>IF(O8&gt;0.4,"0.4",O8)</f>
        <v>0</v>
      </c>
      <c r="AF8" s="61">
        <f>1.8-1.36*(G8*(AE8+S8)+M8*(AE8-Q8))^0.15-0.01*(6.14-G8)*((I8+0.5*K8)*AG8)^0.5</f>
        <v>1.8</v>
      </c>
      <c r="AG8" s="61">
        <f>IF(MAX(U8,W8)&lt;=0.9,MAX(U8,W8),"0.9")</f>
        <v>0</v>
      </c>
      <c r="AH8" s="61">
        <f>IF((G8+M8)&gt;=3,AI8,AJ8)</f>
        <v>1.8</v>
      </c>
      <c r="AI8" s="61">
        <f>1.8-1.47*(G8+M8)^0.08</f>
        <v>1.8</v>
      </c>
      <c r="AJ8" s="61">
        <f>1.8-1.36*(G8+M8)^0.15</f>
        <v>1.8</v>
      </c>
      <c r="AK8" s="60"/>
    </row>
    <row r="9" spans="1:37" ht="26.25" customHeight="1">
      <c r="A9" s="519"/>
      <c r="B9" s="520"/>
      <c r="C9" s="521"/>
      <c r="D9" s="521"/>
      <c r="E9" s="521"/>
      <c r="F9" s="521"/>
      <c r="G9" s="516"/>
      <c r="H9" s="516"/>
      <c r="I9" s="516"/>
      <c r="J9" s="516"/>
      <c r="K9" s="516"/>
      <c r="L9" s="516"/>
      <c r="M9" s="516"/>
      <c r="N9" s="516"/>
      <c r="O9" s="516"/>
      <c r="P9" s="516"/>
      <c r="Q9" s="516"/>
      <c r="R9" s="516"/>
      <c r="S9" s="516"/>
      <c r="T9" s="516"/>
      <c r="U9" s="516"/>
      <c r="V9" s="516"/>
      <c r="W9" s="516"/>
      <c r="X9" s="516"/>
      <c r="Y9" s="517" t="str">
        <f t="shared" si="1"/>
        <v/>
      </c>
      <c r="Z9" s="518"/>
      <c r="AA9" s="511" t="str">
        <f t="shared" si="0"/>
        <v/>
      </c>
      <c r="AB9" s="511"/>
      <c r="AC9" s="512"/>
      <c r="AD9" s="60"/>
      <c r="AE9" s="61">
        <f t="shared" ref="AE9:AE11" si="2">IF(O9&gt;0.4,"0.4",O9)</f>
        <v>0</v>
      </c>
      <c r="AF9" s="61">
        <f t="shared" ref="AF9:AF11" si="3">1.8-1.36*(G9*(AE9+S9)+M9*(AE9-Q9))^0.15-0.01*(6.14-G9)*((I9+0.5*K9)*AG9)^0.5</f>
        <v>1.8</v>
      </c>
      <c r="AG9" s="61">
        <f t="shared" ref="AG9:AG11" si="4">IF(MAX(U9,W9)&lt;=0.9,MAX(U9,W9),"0.9")</f>
        <v>0</v>
      </c>
      <c r="AH9" s="61">
        <f t="shared" ref="AH9:AH11" si="5">IF((G9+M9)&gt;=3,AI9,AJ9)</f>
        <v>1.8</v>
      </c>
      <c r="AI9" s="61">
        <f t="shared" ref="AI9:AI11" si="6">1.8-1.47*(G9+M9)^0.08</f>
        <v>1.8</v>
      </c>
      <c r="AJ9" s="61">
        <f t="shared" ref="AJ9:AJ11" si="7">1.8-1.36*(G9+M9)^0.15</f>
        <v>1.8</v>
      </c>
      <c r="AK9" s="60"/>
    </row>
    <row r="10" spans="1:37" ht="26.25" customHeight="1">
      <c r="A10" s="519"/>
      <c r="B10" s="520"/>
      <c r="C10" s="521"/>
      <c r="D10" s="521"/>
      <c r="E10" s="521"/>
      <c r="F10" s="521"/>
      <c r="G10" s="516"/>
      <c r="H10" s="516"/>
      <c r="I10" s="516"/>
      <c r="J10" s="516"/>
      <c r="K10" s="516"/>
      <c r="L10" s="516"/>
      <c r="M10" s="516"/>
      <c r="N10" s="516"/>
      <c r="O10" s="516"/>
      <c r="P10" s="516"/>
      <c r="Q10" s="516"/>
      <c r="R10" s="516"/>
      <c r="S10" s="516"/>
      <c r="T10" s="516"/>
      <c r="U10" s="516"/>
      <c r="V10" s="516"/>
      <c r="W10" s="516"/>
      <c r="X10" s="516"/>
      <c r="Y10" s="517" t="str">
        <f t="shared" si="1"/>
        <v/>
      </c>
      <c r="Z10" s="518"/>
      <c r="AA10" s="511" t="str">
        <f t="shared" si="0"/>
        <v/>
      </c>
      <c r="AB10" s="511"/>
      <c r="AC10" s="512"/>
      <c r="AD10" s="60"/>
      <c r="AE10" s="61">
        <f t="shared" si="2"/>
        <v>0</v>
      </c>
      <c r="AF10" s="61">
        <f t="shared" si="3"/>
        <v>1.8</v>
      </c>
      <c r="AG10" s="61">
        <f t="shared" si="4"/>
        <v>0</v>
      </c>
      <c r="AH10" s="61">
        <f t="shared" si="5"/>
        <v>1.8</v>
      </c>
      <c r="AI10" s="61">
        <f t="shared" si="6"/>
        <v>1.8</v>
      </c>
      <c r="AJ10" s="61">
        <f t="shared" si="7"/>
        <v>1.8</v>
      </c>
      <c r="AK10" s="60"/>
    </row>
    <row r="11" spans="1:37" ht="26.25" customHeight="1">
      <c r="A11" s="519"/>
      <c r="B11" s="520"/>
      <c r="C11" s="521"/>
      <c r="D11" s="521"/>
      <c r="E11" s="521"/>
      <c r="F11" s="521"/>
      <c r="G11" s="516"/>
      <c r="H11" s="516"/>
      <c r="I11" s="516"/>
      <c r="J11" s="516"/>
      <c r="K11" s="516"/>
      <c r="L11" s="516"/>
      <c r="M11" s="516"/>
      <c r="N11" s="516"/>
      <c r="O11" s="516"/>
      <c r="P11" s="516"/>
      <c r="Q11" s="516"/>
      <c r="R11" s="516"/>
      <c r="S11" s="516"/>
      <c r="T11" s="516"/>
      <c r="U11" s="516"/>
      <c r="V11" s="516"/>
      <c r="W11" s="516"/>
      <c r="X11" s="516"/>
      <c r="Y11" s="517" t="str">
        <f t="shared" si="1"/>
        <v/>
      </c>
      <c r="Z11" s="518"/>
      <c r="AA11" s="511" t="str">
        <f t="shared" si="0"/>
        <v/>
      </c>
      <c r="AB11" s="511"/>
      <c r="AC11" s="512"/>
      <c r="AD11" s="60"/>
      <c r="AE11" s="61">
        <f t="shared" si="2"/>
        <v>0</v>
      </c>
      <c r="AF11" s="61">
        <f t="shared" si="3"/>
        <v>1.8</v>
      </c>
      <c r="AG11" s="61">
        <f t="shared" si="4"/>
        <v>0</v>
      </c>
      <c r="AH11" s="61">
        <f t="shared" si="5"/>
        <v>1.8</v>
      </c>
      <c r="AI11" s="61">
        <f t="shared" si="6"/>
        <v>1.8</v>
      </c>
      <c r="AJ11" s="61">
        <f t="shared" si="7"/>
        <v>1.8</v>
      </c>
      <c r="AK11" s="60"/>
    </row>
    <row r="12" spans="1:37" ht="26.25" customHeight="1">
      <c r="A12" s="519"/>
      <c r="B12" s="520"/>
      <c r="C12" s="521"/>
      <c r="D12" s="521"/>
      <c r="E12" s="521"/>
      <c r="F12" s="521"/>
      <c r="G12" s="516"/>
      <c r="H12" s="516"/>
      <c r="I12" s="516"/>
      <c r="J12" s="516"/>
      <c r="K12" s="516"/>
      <c r="L12" s="516"/>
      <c r="M12" s="516"/>
      <c r="N12" s="516"/>
      <c r="O12" s="516"/>
      <c r="P12" s="516"/>
      <c r="Q12" s="516"/>
      <c r="R12" s="516"/>
      <c r="S12" s="516"/>
      <c r="T12" s="516"/>
      <c r="U12" s="516"/>
      <c r="V12" s="516"/>
      <c r="W12" s="516"/>
      <c r="X12" s="516"/>
      <c r="Y12" s="517" t="str">
        <f t="shared" si="1"/>
        <v/>
      </c>
      <c r="Z12" s="518"/>
      <c r="AA12" s="511" t="str">
        <f t="shared" si="0"/>
        <v/>
      </c>
      <c r="AB12" s="511"/>
      <c r="AC12" s="512"/>
      <c r="AD12" s="60"/>
      <c r="AE12" s="61">
        <f>IF(O12&gt;0.4,"0.4",O12)</f>
        <v>0</v>
      </c>
      <c r="AF12" s="61">
        <f>1.8-1.36*(G12*(AE12+S12)+M12*(AE12-Q12))^0.15-0.01*(6.14-G12)*((I12+0.5*K12)*AG12)^0.5</f>
        <v>1.8</v>
      </c>
      <c r="AG12" s="61">
        <f>IF(MAX(U12,W12)&lt;=0.9,MAX(U12,W12),"0.9")</f>
        <v>0</v>
      </c>
      <c r="AH12" s="61">
        <f>IF((G12+M12)&gt;=3,AI12,AJ12)</f>
        <v>1.8</v>
      </c>
      <c r="AI12" s="61">
        <f>1.8-1.47*(G12+M12)^0.08</f>
        <v>1.8</v>
      </c>
      <c r="AJ12" s="61">
        <f>1.8-1.36*(G12+M12)^0.15</f>
        <v>1.8</v>
      </c>
      <c r="AK12" s="60"/>
    </row>
    <row r="13" spans="1:37" ht="26.25" customHeight="1" thickBot="1">
      <c r="A13" s="513"/>
      <c r="B13" s="514"/>
      <c r="C13" s="515"/>
      <c r="D13" s="515"/>
      <c r="E13" s="515"/>
      <c r="F13" s="515"/>
      <c r="G13" s="506"/>
      <c r="H13" s="506"/>
      <c r="I13" s="506"/>
      <c r="J13" s="506"/>
      <c r="K13" s="506"/>
      <c r="L13" s="506"/>
      <c r="M13" s="506"/>
      <c r="N13" s="506"/>
      <c r="O13" s="506"/>
      <c r="P13" s="506"/>
      <c r="Q13" s="506"/>
      <c r="R13" s="506"/>
      <c r="S13" s="506"/>
      <c r="T13" s="506"/>
      <c r="U13" s="506"/>
      <c r="V13" s="506"/>
      <c r="W13" s="506"/>
      <c r="X13" s="506"/>
      <c r="Y13" s="507" t="str">
        <f t="shared" si="1"/>
        <v/>
      </c>
      <c r="Z13" s="508"/>
      <c r="AA13" s="509" t="str">
        <f t="shared" si="0"/>
        <v/>
      </c>
      <c r="AB13" s="509"/>
      <c r="AC13" s="510"/>
      <c r="AD13" s="60"/>
      <c r="AE13" s="61">
        <f>IF(O13&gt;0.4,"0.4",O13)</f>
        <v>0</v>
      </c>
      <c r="AF13" s="61">
        <f>1.8-1.36*(G13*(AE13+S13)+M13*(AE13-Q13))^0.15-0.01*(6.14-G13)*((I13+0.5*K13)*AG13)^0.5</f>
        <v>1.8</v>
      </c>
      <c r="AG13" s="61">
        <f>IF(MAX(U13,W13)&lt;=0.9,MAX(U13,W13),"0.9")</f>
        <v>0</v>
      </c>
      <c r="AH13" s="61">
        <f>IF((G13+M13)&gt;=3,AI13,AJ13)</f>
        <v>1.8</v>
      </c>
      <c r="AI13" s="61">
        <f>1.8-1.47*(G13+M13)^0.08</f>
        <v>1.8</v>
      </c>
      <c r="AJ13" s="61">
        <f>1.8-1.36*(G13+M13)^0.15</f>
        <v>1.8</v>
      </c>
      <c r="AK13" s="60"/>
    </row>
    <row r="14" spans="1:37" ht="26.25" customHeight="1">
      <c r="A14" s="60" t="s">
        <v>237</v>
      </c>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row>
    <row r="15" spans="1:37" ht="26.25" customHeight="1">
      <c r="A15" s="60" t="s">
        <v>293</v>
      </c>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row>
    <row r="16" spans="1:37">
      <c r="A16" s="60"/>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row>
  </sheetData>
  <sheetProtection algorithmName="SHA-512" hashValue="GyAmdbeUShiqwn+JHI69VryJLT6/Gq2IQohilKZyRFTBFzA4NUxUpj6YMzH4ArtLbieBhPloNbNmZrSsw7EW/Q==" saltValue="hp0Uqz2WcVTqqL+IRAIX/A==" spinCount="100000" sheet="1" selectLockedCells="1"/>
  <mergeCells count="120">
    <mergeCell ref="S4:T5"/>
    <mergeCell ref="U4:V5"/>
    <mergeCell ref="W4:X5"/>
    <mergeCell ref="Y4:Z5"/>
    <mergeCell ref="AA4:AC5"/>
    <mergeCell ref="AF4:AJ4"/>
    <mergeCell ref="A1:AC1"/>
    <mergeCell ref="A2:AC2"/>
    <mergeCell ref="A4:B5"/>
    <mergeCell ref="C4:F5"/>
    <mergeCell ref="G4:H5"/>
    <mergeCell ref="I4:J5"/>
    <mergeCell ref="K4:L5"/>
    <mergeCell ref="M4:N5"/>
    <mergeCell ref="O4:P5"/>
    <mergeCell ref="Q4:R5"/>
    <mergeCell ref="AA6:AC6"/>
    <mergeCell ref="A7:B7"/>
    <mergeCell ref="C7:F7"/>
    <mergeCell ref="G7:H7"/>
    <mergeCell ref="I7:J7"/>
    <mergeCell ref="K7:L7"/>
    <mergeCell ref="M7:N7"/>
    <mergeCell ref="O7:P7"/>
    <mergeCell ref="Q7:R7"/>
    <mergeCell ref="S7:T7"/>
    <mergeCell ref="O6:P6"/>
    <mergeCell ref="Q6:R6"/>
    <mergeCell ref="S6:T6"/>
    <mergeCell ref="U6:V6"/>
    <mergeCell ref="W6:X6"/>
    <mergeCell ref="Y6:Z6"/>
    <mergeCell ref="A6:B6"/>
    <mergeCell ref="C6:F6"/>
    <mergeCell ref="G6:H6"/>
    <mergeCell ref="I6:J6"/>
    <mergeCell ref="K6:L6"/>
    <mergeCell ref="M6:N6"/>
    <mergeCell ref="U7:V7"/>
    <mergeCell ref="W7:X7"/>
    <mergeCell ref="Q9:R9"/>
    <mergeCell ref="S9:T9"/>
    <mergeCell ref="Y7:Z7"/>
    <mergeCell ref="AA7:AC7"/>
    <mergeCell ref="A8:B8"/>
    <mergeCell ref="C8:F8"/>
    <mergeCell ref="G8:H8"/>
    <mergeCell ref="I8:J8"/>
    <mergeCell ref="K8:L8"/>
    <mergeCell ref="M8:N8"/>
    <mergeCell ref="AA8:AC8"/>
    <mergeCell ref="O8:P8"/>
    <mergeCell ref="Q8:R8"/>
    <mergeCell ref="S8:T8"/>
    <mergeCell ref="U8:V8"/>
    <mergeCell ref="W8:X8"/>
    <mergeCell ref="Y8:Z8"/>
    <mergeCell ref="U9:V9"/>
    <mergeCell ref="W9:X9"/>
    <mergeCell ref="Y9:Z9"/>
    <mergeCell ref="AA9:AC9"/>
    <mergeCell ref="A9:B9"/>
    <mergeCell ref="C9:F9"/>
    <mergeCell ref="G9:H9"/>
    <mergeCell ref="C10:F10"/>
    <mergeCell ref="G10:H10"/>
    <mergeCell ref="I10:J10"/>
    <mergeCell ref="K10:L10"/>
    <mergeCell ref="M10:N10"/>
    <mergeCell ref="AA10:AC10"/>
    <mergeCell ref="O10:P10"/>
    <mergeCell ref="Q10:R10"/>
    <mergeCell ref="S10:T10"/>
    <mergeCell ref="U10:V10"/>
    <mergeCell ref="W10:X10"/>
    <mergeCell ref="Y10:Z10"/>
    <mergeCell ref="I9:J9"/>
    <mergeCell ref="K9:L9"/>
    <mergeCell ref="M9:N9"/>
    <mergeCell ref="O9:P9"/>
    <mergeCell ref="U11:V11"/>
    <mergeCell ref="W11:X11"/>
    <mergeCell ref="Y11:Z11"/>
    <mergeCell ref="AA11:AC11"/>
    <mergeCell ref="A12:B12"/>
    <mergeCell ref="C12:F12"/>
    <mergeCell ref="G12:H12"/>
    <mergeCell ref="I12:J12"/>
    <mergeCell ref="K12:L12"/>
    <mergeCell ref="M12:N12"/>
    <mergeCell ref="A11:B11"/>
    <mergeCell ref="C11:F11"/>
    <mergeCell ref="G11:H11"/>
    <mergeCell ref="I11:J11"/>
    <mergeCell ref="K11:L11"/>
    <mergeCell ref="M11:N11"/>
    <mergeCell ref="O11:P11"/>
    <mergeCell ref="Q11:R11"/>
    <mergeCell ref="S11:T11"/>
    <mergeCell ref="A10:B10"/>
    <mergeCell ref="U13:V13"/>
    <mergeCell ref="W13:X13"/>
    <mergeCell ref="Y13:Z13"/>
    <mergeCell ref="AA13:AC13"/>
    <mergeCell ref="AA12:AC12"/>
    <mergeCell ref="A13:B13"/>
    <mergeCell ref="C13:F13"/>
    <mergeCell ref="G13:H13"/>
    <mergeCell ref="I13:J13"/>
    <mergeCell ref="K13:L13"/>
    <mergeCell ref="M13:N13"/>
    <mergeCell ref="O13:P13"/>
    <mergeCell ref="Q13:R13"/>
    <mergeCell ref="S13:T13"/>
    <mergeCell ref="O12:P12"/>
    <mergeCell ref="Q12:R12"/>
    <mergeCell ref="S12:T12"/>
    <mergeCell ref="U12:V12"/>
    <mergeCell ref="W12:X12"/>
    <mergeCell ref="Y12:Z12"/>
  </mergeCells>
  <phoneticPr fontId="4"/>
  <conditionalFormatting sqref="A6:X13">
    <cfRule type="expression" dxfId="2" priority="10" stopIfTrue="1">
      <formula>$AE$2&lt;&gt;2</formula>
    </cfRule>
  </conditionalFormatting>
  <conditionalFormatting sqref="Y6:Z13">
    <cfRule type="expression" dxfId="1" priority="2">
      <formula>$AE$2&lt;&gt;2</formula>
    </cfRule>
  </conditionalFormatting>
  <conditionalFormatting sqref="AA6:AC13">
    <cfRule type="expression" dxfId="0" priority="1">
      <formula>$AE$2&lt;&gt;2</formula>
    </cfRule>
  </conditionalFormatting>
  <dataValidations count="1">
    <dataValidation type="list" allowBlank="1" showInputMessage="1" showErrorMessage="1" sqref="C6:F13" xr:uid="{00000000-0002-0000-0B00-000000000000}">
      <formula1>"基礎断熱,玄関土間,勝手口土間,その他"</formula1>
    </dataValidation>
  </dataValidations>
  <pageMargins left="0.70866141732283472" right="0.70866141732283472" top="0.74803149606299213" bottom="0.74803149606299213" header="0.31496062992125984" footer="0.31496062992125984"/>
  <pageSetup paperSize="9" scale="76" orientation="portrait" r:id="rId1"/>
  <headerFooter>
    <oddHeader>&amp;Rver. 2.5</oddHeader>
    <oddFooter>&amp;Cⓒ　2022 hyoukakyoukai.All right reserved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tabColor rgb="FF00B050"/>
  </sheetPr>
  <dimension ref="A1"/>
  <sheetViews>
    <sheetView view="pageBreakPreview" zoomScale="85" zoomScaleNormal="55" zoomScaleSheetLayoutView="85" workbookViewId="0">
      <selection activeCell="K6" sqref="K6:AC6"/>
    </sheetView>
  </sheetViews>
  <sheetFormatPr defaultRowHeight="13.5"/>
  <sheetData/>
  <sheetProtection algorithmName="SHA-512" hashValue="PSzMktZTnqt/K7tYmt4P6azO2onH5Z0XzS+rm99J+jNOFVxPJraxqD+xxs5ZzvXzc49chQMDByenELQXTvqVqA==" saltValue="nC9q9BolzECUl4oLo0U93Q==" spinCount="100000" sheet="1" objects="1" scenarios="1"/>
  <phoneticPr fontId="4"/>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rowBreaks count="2" manualBreakCount="2">
    <brk id="58" max="10" man="1"/>
    <brk id="114" max="1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00B050"/>
  </sheetPr>
  <dimension ref="B2:F24"/>
  <sheetViews>
    <sheetView view="pageBreakPreview" zoomScale="115" zoomScaleNormal="70" zoomScaleSheetLayoutView="115" workbookViewId="0">
      <selection activeCell="K6" sqref="K6:AC6"/>
    </sheetView>
  </sheetViews>
  <sheetFormatPr defaultColWidth="9" defaultRowHeight="12"/>
  <cols>
    <col min="1" max="1" width="0.875" style="23" customWidth="1"/>
    <col min="2" max="2" width="21.125" style="23" customWidth="1"/>
    <col min="3" max="3" width="3.5" style="53" bestFit="1" customWidth="1"/>
    <col min="4" max="4" width="20.375" style="23" customWidth="1"/>
    <col min="5" max="5" width="48.25" style="23" customWidth="1"/>
    <col min="6" max="6" width="12.75" style="23" bestFit="1" customWidth="1"/>
    <col min="7" max="7" width="0.875" style="23" customWidth="1"/>
    <col min="8" max="16384" width="9" style="23"/>
  </cols>
  <sheetData>
    <row r="2" spans="2:6">
      <c r="B2" s="23" t="s">
        <v>156</v>
      </c>
    </row>
    <row r="3" spans="2:6" s="53" customFormat="1" ht="24">
      <c r="B3" s="52" t="s">
        <v>157</v>
      </c>
      <c r="C3" s="39" t="s">
        <v>158</v>
      </c>
      <c r="D3" s="40" t="s">
        <v>159</v>
      </c>
      <c r="E3" s="41" t="s">
        <v>66</v>
      </c>
      <c r="F3" s="51" t="s">
        <v>160</v>
      </c>
    </row>
    <row r="4" spans="2:6">
      <c r="B4" s="542" t="s">
        <v>161</v>
      </c>
      <c r="C4" s="107" t="s">
        <v>162</v>
      </c>
      <c r="D4" s="42" t="s">
        <v>164</v>
      </c>
      <c r="E4" s="43" t="s">
        <v>163</v>
      </c>
      <c r="F4" s="546">
        <v>44298</v>
      </c>
    </row>
    <row r="5" spans="2:6">
      <c r="B5" s="267"/>
      <c r="C5" s="109" t="s">
        <v>166</v>
      </c>
      <c r="D5" s="54" t="s">
        <v>165</v>
      </c>
      <c r="E5" s="110" t="s">
        <v>168</v>
      </c>
      <c r="F5" s="547"/>
    </row>
    <row r="6" spans="2:6">
      <c r="B6" s="267"/>
      <c r="C6" s="111" t="s">
        <v>170</v>
      </c>
      <c r="D6" s="105" t="s">
        <v>167</v>
      </c>
      <c r="E6" s="112" t="s">
        <v>169</v>
      </c>
      <c r="F6" s="547"/>
    </row>
    <row r="7" spans="2:6">
      <c r="B7" s="154" t="s">
        <v>210</v>
      </c>
      <c r="C7" s="107" t="s">
        <v>162</v>
      </c>
      <c r="D7" s="42" t="s">
        <v>164</v>
      </c>
      <c r="E7" s="114" t="s">
        <v>211</v>
      </c>
      <c r="F7" s="546">
        <v>44424</v>
      </c>
    </row>
    <row r="8" spans="2:6">
      <c r="B8" s="154"/>
      <c r="C8" s="109" t="s">
        <v>166</v>
      </c>
      <c r="D8" s="54" t="s">
        <v>217</v>
      </c>
      <c r="E8" s="55" t="s">
        <v>218</v>
      </c>
      <c r="F8" s="547"/>
    </row>
    <row r="9" spans="2:6">
      <c r="B9" s="154"/>
      <c r="C9" s="109" t="s">
        <v>216</v>
      </c>
      <c r="D9" s="54" t="s">
        <v>213</v>
      </c>
      <c r="E9" s="55" t="s">
        <v>219</v>
      </c>
      <c r="F9" s="547"/>
    </row>
    <row r="10" spans="2:6">
      <c r="B10" s="154"/>
      <c r="C10" s="111" t="s">
        <v>243</v>
      </c>
      <c r="D10" s="105" t="s">
        <v>213</v>
      </c>
      <c r="E10" s="117" t="s">
        <v>214</v>
      </c>
      <c r="F10" s="543"/>
    </row>
    <row r="11" spans="2:6">
      <c r="B11" s="542" t="s">
        <v>265</v>
      </c>
      <c r="C11" s="113" t="s">
        <v>162</v>
      </c>
      <c r="D11" s="42" t="s">
        <v>254</v>
      </c>
      <c r="E11" s="114" t="s">
        <v>255</v>
      </c>
      <c r="F11" s="546">
        <v>44637</v>
      </c>
    </row>
    <row r="12" spans="2:6">
      <c r="B12" s="269"/>
      <c r="C12" s="116" t="s">
        <v>212</v>
      </c>
      <c r="D12" s="54" t="s">
        <v>215</v>
      </c>
      <c r="E12" s="55" t="s">
        <v>259</v>
      </c>
      <c r="F12" s="547"/>
    </row>
    <row r="13" spans="2:6">
      <c r="B13" s="269"/>
      <c r="C13" s="116" t="s">
        <v>216</v>
      </c>
      <c r="D13" s="54" t="s">
        <v>244</v>
      </c>
      <c r="E13" s="55" t="s">
        <v>245</v>
      </c>
      <c r="F13" s="547"/>
    </row>
    <row r="14" spans="2:6">
      <c r="B14" s="269"/>
      <c r="C14" s="116" t="s">
        <v>243</v>
      </c>
      <c r="D14" s="54" t="s">
        <v>217</v>
      </c>
      <c r="E14" s="55" t="s">
        <v>262</v>
      </c>
      <c r="F14" s="547"/>
    </row>
    <row r="15" spans="2:6">
      <c r="B15" s="543"/>
      <c r="C15" s="111" t="s">
        <v>260</v>
      </c>
      <c r="D15" s="105" t="s">
        <v>213</v>
      </c>
      <c r="E15" s="117" t="s">
        <v>261</v>
      </c>
      <c r="F15" s="548"/>
    </row>
    <row r="16" spans="2:6">
      <c r="B16" s="51" t="s">
        <v>266</v>
      </c>
      <c r="C16" s="91" t="s">
        <v>162</v>
      </c>
      <c r="D16" s="92" t="s">
        <v>215</v>
      </c>
      <c r="E16" s="93" t="s">
        <v>267</v>
      </c>
      <c r="F16" s="94">
        <v>44662</v>
      </c>
    </row>
    <row r="17" spans="2:6" ht="13.5" customHeight="1">
      <c r="B17" s="542" t="s">
        <v>273</v>
      </c>
      <c r="C17" s="113" t="s">
        <v>162</v>
      </c>
      <c r="D17" s="42" t="s">
        <v>254</v>
      </c>
      <c r="E17" s="114" t="s">
        <v>274</v>
      </c>
      <c r="F17" s="544">
        <v>44841</v>
      </c>
    </row>
    <row r="18" spans="2:6">
      <c r="B18" s="543"/>
      <c r="C18" s="115" t="s">
        <v>212</v>
      </c>
      <c r="D18" s="105" t="s">
        <v>275</v>
      </c>
      <c r="E18" s="104" t="s">
        <v>276</v>
      </c>
      <c r="F18" s="545"/>
    </row>
    <row r="19" spans="2:6">
      <c r="B19" s="154" t="s">
        <v>279</v>
      </c>
      <c r="C19" s="107" t="s">
        <v>162</v>
      </c>
      <c r="D19" s="43" t="s">
        <v>281</v>
      </c>
      <c r="E19" s="108" t="s">
        <v>282</v>
      </c>
      <c r="F19" s="541">
        <v>45755</v>
      </c>
    </row>
    <row r="20" spans="2:6">
      <c r="B20" s="154"/>
      <c r="C20" s="109" t="s">
        <v>212</v>
      </c>
      <c r="D20" s="54" t="s">
        <v>281</v>
      </c>
      <c r="E20" s="110" t="s">
        <v>283</v>
      </c>
      <c r="F20" s="541"/>
    </row>
    <row r="21" spans="2:6">
      <c r="B21" s="154"/>
      <c r="C21" s="109" t="s">
        <v>216</v>
      </c>
      <c r="D21" s="54" t="s">
        <v>281</v>
      </c>
      <c r="E21" s="110" t="s">
        <v>290</v>
      </c>
      <c r="F21" s="541"/>
    </row>
    <row r="22" spans="2:6" ht="24">
      <c r="B22" s="154"/>
      <c r="C22" s="109" t="s">
        <v>243</v>
      </c>
      <c r="D22" s="54" t="s">
        <v>286</v>
      </c>
      <c r="E22" s="110" t="s">
        <v>284</v>
      </c>
      <c r="F22" s="541"/>
    </row>
    <row r="23" spans="2:6">
      <c r="B23" s="154"/>
      <c r="C23" s="109" t="s">
        <v>260</v>
      </c>
      <c r="D23" s="54" t="s">
        <v>285</v>
      </c>
      <c r="E23" s="110" t="s">
        <v>287</v>
      </c>
      <c r="F23" s="541"/>
    </row>
    <row r="24" spans="2:6">
      <c r="B24" s="154"/>
      <c r="C24" s="111" t="s">
        <v>291</v>
      </c>
      <c r="D24" s="105" t="s">
        <v>288</v>
      </c>
      <c r="E24" s="112" t="s">
        <v>289</v>
      </c>
      <c r="F24" s="541"/>
    </row>
  </sheetData>
  <sheetProtection algorithmName="SHA-512" hashValue="lTZXkBsd7B+iMtr/XAmW/riaE+592gvIMOhg2CJCjtgx3BRYf3VFxL2Hq3VpvD6zm3Z/XeqtCWhYr7LRqPxs9g==" saltValue="BjulMuF1au9kywdsvowbIw==" spinCount="100000" sheet="1" selectLockedCells="1"/>
  <mergeCells count="10">
    <mergeCell ref="B19:B24"/>
    <mergeCell ref="F19:F24"/>
    <mergeCell ref="B17:B18"/>
    <mergeCell ref="F17:F18"/>
    <mergeCell ref="B4:B6"/>
    <mergeCell ref="F4:F6"/>
    <mergeCell ref="B7:B10"/>
    <mergeCell ref="F7:F10"/>
    <mergeCell ref="F11:F15"/>
    <mergeCell ref="B11:B15"/>
  </mergeCells>
  <phoneticPr fontId="4"/>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S108"/>
  <sheetViews>
    <sheetView view="pageBreakPreview" topLeftCell="A25" zoomScale="85" zoomScaleNormal="100" zoomScaleSheetLayoutView="85" workbookViewId="0">
      <selection activeCell="B16" sqref="B16:C16"/>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361" t="s">
        <v>172</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E2" s="101">
        <f>共通条件・結果!AE2</f>
        <v>1</v>
      </c>
    </row>
    <row r="3" spans="2:41" s="2" customFormat="1" ht="24.95" customHeight="1" thickBot="1">
      <c r="AE3" s="2" t="s">
        <v>271</v>
      </c>
    </row>
    <row r="4" spans="2:41" s="2" customFormat="1" ht="21.95" customHeight="1" thickBot="1">
      <c r="B4" s="4" t="s">
        <v>5</v>
      </c>
      <c r="R4" s="362" t="s">
        <v>33</v>
      </c>
      <c r="S4" s="363"/>
      <c r="T4" s="363"/>
      <c r="U4" s="364"/>
      <c r="V4" s="365" t="b">
        <f>IF(共通条件・結果!AA7="８地域","0.325",IF(共通条件・結果!AA7="７地域",0.307,IF(共通条件・結果!AA7="６地域",0.341,IF(共通条件・結果!AA7="５地域",0.373,IF(共通条件・結果!AA7="４地域",0.322,IF(共通条件・結果!AA7="３地域",0.335,IF(共通条件・結果!AA7="２地域",0.341,IF(共通条件・結果!AA7="１地域",0.329))))))))</f>
        <v>0</v>
      </c>
      <c r="W4" s="366"/>
      <c r="X4" s="365" t="b">
        <f>IF(共通条件・結果!AA7="８地域","-",IF(共通条件・結果!AA7="７地域",0.227,IF(共通条件・結果!AA7="６地域",0.261,IF(共通条件・結果!AA7="５地域",0.238,IF(共通条件・結果!AA7="４地域",0.256,IF(共通条件・結果!AA7="３地域",0.284,IF(共通条件・結果!AA7="２地域",0.263,IF(共通条件・結果!AA7="１地域",0.26))))))))</f>
        <v>0</v>
      </c>
      <c r="Y4" s="366"/>
    </row>
    <row r="5" spans="2:41" s="2" customFormat="1" ht="21.95" customHeight="1">
      <c r="B5" s="367" t="s">
        <v>6</v>
      </c>
      <c r="C5" s="178"/>
      <c r="D5" s="178" t="s">
        <v>140</v>
      </c>
      <c r="E5" s="178"/>
      <c r="F5" s="178"/>
      <c r="G5" s="178"/>
      <c r="H5" s="266" t="s">
        <v>141</v>
      </c>
      <c r="I5" s="178"/>
      <c r="J5" s="266" t="s">
        <v>65</v>
      </c>
      <c r="K5" s="178"/>
      <c r="L5" s="266" t="s">
        <v>9</v>
      </c>
      <c r="M5" s="178"/>
      <c r="N5" s="370" t="s">
        <v>46</v>
      </c>
      <c r="O5" s="214"/>
      <c r="P5" s="214"/>
      <c r="Q5" s="214"/>
      <c r="R5" s="214"/>
      <c r="S5" s="214"/>
      <c r="T5" s="214"/>
      <c r="U5" s="214"/>
      <c r="V5" s="266" t="s">
        <v>142</v>
      </c>
      <c r="W5" s="178"/>
      <c r="X5" s="266" t="s">
        <v>143</v>
      </c>
      <c r="Y5" s="178"/>
      <c r="Z5" s="266" t="s">
        <v>110</v>
      </c>
      <c r="AA5" s="179"/>
    </row>
    <row r="6" spans="2:41" s="2" customFormat="1" ht="21.95" customHeight="1">
      <c r="B6" s="368"/>
      <c r="C6" s="267"/>
      <c r="D6" s="349" t="s">
        <v>8</v>
      </c>
      <c r="E6" s="350"/>
      <c r="F6" s="353" t="s">
        <v>7</v>
      </c>
      <c r="G6" s="354"/>
      <c r="H6" s="267"/>
      <c r="I6" s="267"/>
      <c r="J6" s="269"/>
      <c r="K6" s="267"/>
      <c r="L6" s="269"/>
      <c r="M6" s="267"/>
      <c r="N6" s="355" t="s">
        <v>45</v>
      </c>
      <c r="O6" s="356"/>
      <c r="P6" s="358" t="s">
        <v>144</v>
      </c>
      <c r="Q6" s="359"/>
      <c r="R6" s="359"/>
      <c r="S6" s="359"/>
      <c r="T6" s="359"/>
      <c r="U6" s="360"/>
      <c r="V6" s="269"/>
      <c r="W6" s="267"/>
      <c r="X6" s="269"/>
      <c r="Y6" s="267"/>
      <c r="Z6" s="267"/>
      <c r="AA6" s="272"/>
      <c r="AD6" s="287" t="s">
        <v>49</v>
      </c>
      <c r="AE6" s="287"/>
      <c r="AF6" s="19"/>
      <c r="AG6" s="19"/>
      <c r="AH6" s="287" t="s">
        <v>12</v>
      </c>
      <c r="AI6" s="287"/>
      <c r="AJ6" s="19"/>
      <c r="AK6" s="287" t="s">
        <v>50</v>
      </c>
      <c r="AL6" s="287"/>
      <c r="AN6" s="287" t="s">
        <v>58</v>
      </c>
      <c r="AO6" s="287"/>
    </row>
    <row r="7" spans="2:41" s="2" customFormat="1" ht="21.95" customHeight="1" thickBot="1">
      <c r="B7" s="369"/>
      <c r="C7" s="268"/>
      <c r="D7" s="351"/>
      <c r="E7" s="352"/>
      <c r="F7" s="297"/>
      <c r="G7" s="253"/>
      <c r="H7" s="268"/>
      <c r="I7" s="268"/>
      <c r="J7" s="268"/>
      <c r="K7" s="268"/>
      <c r="L7" s="268"/>
      <c r="M7" s="268"/>
      <c r="N7" s="258"/>
      <c r="O7" s="357"/>
      <c r="P7" s="253" t="s">
        <v>10</v>
      </c>
      <c r="Q7" s="300"/>
      <c r="R7" s="346" t="s">
        <v>11</v>
      </c>
      <c r="S7" s="347"/>
      <c r="T7" s="253" t="s">
        <v>3</v>
      </c>
      <c r="U7" s="300"/>
      <c r="V7" s="268"/>
      <c r="W7" s="268"/>
      <c r="X7" s="268"/>
      <c r="Y7" s="268"/>
      <c r="Z7" s="268"/>
      <c r="AA7" s="273"/>
      <c r="AD7" s="19" t="s">
        <v>4</v>
      </c>
      <c r="AE7" s="19" t="s">
        <v>16</v>
      </c>
      <c r="AF7" s="19"/>
      <c r="AG7" s="19"/>
      <c r="AH7" s="19" t="s">
        <v>4</v>
      </c>
      <c r="AI7" s="19" t="s">
        <v>16</v>
      </c>
      <c r="AJ7" s="19"/>
      <c r="AK7" s="19" t="s">
        <v>4</v>
      </c>
      <c r="AL7" s="19" t="s">
        <v>16</v>
      </c>
      <c r="AN7" s="45" t="s">
        <v>56</v>
      </c>
      <c r="AO7" s="2" t="s">
        <v>54</v>
      </c>
    </row>
    <row r="8" spans="2:41" s="2" customFormat="1" ht="21.95" customHeight="1">
      <c r="B8" s="239"/>
      <c r="C8" s="345"/>
      <c r="D8" s="291"/>
      <c r="E8" s="292"/>
      <c r="F8" s="292"/>
      <c r="G8" s="293"/>
      <c r="H8" s="245"/>
      <c r="I8" s="245"/>
      <c r="J8" s="245"/>
      <c r="K8" s="245"/>
      <c r="L8" s="317"/>
      <c r="M8" s="317"/>
      <c r="N8" s="337"/>
      <c r="O8" s="338"/>
      <c r="P8" s="339"/>
      <c r="Q8" s="340"/>
      <c r="R8" s="341"/>
      <c r="S8" s="342"/>
      <c r="T8" s="343"/>
      <c r="U8" s="339"/>
      <c r="V8" s="344" t="str">
        <f>IF(D8="","",AD8)</f>
        <v/>
      </c>
      <c r="W8" s="344"/>
      <c r="X8" s="344" t="str">
        <f>IF(D8="","",IF(ISERROR(AE8),"-",AE8))</f>
        <v/>
      </c>
      <c r="Y8" s="344"/>
      <c r="Z8" s="344" t="str">
        <f>IF(D8="","",D8*F8*AN8)</f>
        <v/>
      </c>
      <c r="AA8" s="371"/>
      <c r="AD8" s="2" t="e">
        <f>D8*F8*J8*$V$4*AH8</f>
        <v>#VALUE!</v>
      </c>
      <c r="AE8" s="2" t="e">
        <f>D8*F8*J8*$X$4*AI8</f>
        <v>#VALUE!</v>
      </c>
      <c r="AG8" s="37" t="b">
        <v>0</v>
      </c>
      <c r="AH8" s="2" t="str">
        <f>IF(AG8=TRUE,"0.93",IF(ISERROR(AK8),"エラー",IF(AK8&gt;0.93,"0.93",AK8)))</f>
        <v>エラー</v>
      </c>
      <c r="AI8" s="2" t="str">
        <f>IF(AG8=TRUE,"0.51",IF(ISERROR(AL8),"エラー",IF(AL8&gt;0.72,"0.72",AL8)))</f>
        <v>エラー</v>
      </c>
      <c r="AK8" s="2" t="e">
        <f>0.01*(16+24*(2*R8+T8)/P8)</f>
        <v>#DIV/0!</v>
      </c>
      <c r="AL8" s="2" t="e">
        <f>0.01*(10+15*(2*R8+T8)/P8)</f>
        <v>#DIV/0!</v>
      </c>
      <c r="AN8" s="2">
        <f>IF(AO8="FALSE",H8,IF(L8="風除室",1/((1/H8)+0.1),0.5*H8+0.5*(1/((1/H8)+AO8))))</f>
        <v>0</v>
      </c>
      <c r="AO8" s="19" t="str">
        <f t="shared" ref="AO8:AO19" si="0">IF(L8="","FALSE",IF(L8="雨戸",0.1,IF(L8="ｼｬｯﾀｰ",0.1,IF(L8="障子",0.18,IF(L8="風除室",0.1)))))</f>
        <v>FALSE</v>
      </c>
    </row>
    <row r="9" spans="2:41" s="2" customFormat="1" ht="21.95" customHeight="1">
      <c r="B9" s="230"/>
      <c r="C9" s="331"/>
      <c r="D9" s="332"/>
      <c r="E9" s="333"/>
      <c r="F9" s="333"/>
      <c r="G9" s="334"/>
      <c r="H9" s="236"/>
      <c r="I9" s="236"/>
      <c r="J9" s="236"/>
      <c r="K9" s="236"/>
      <c r="L9" s="281"/>
      <c r="M9" s="281"/>
      <c r="N9" s="323"/>
      <c r="O9" s="324"/>
      <c r="P9" s="325"/>
      <c r="Q9" s="326"/>
      <c r="R9" s="327"/>
      <c r="S9" s="328"/>
      <c r="T9" s="329"/>
      <c r="U9" s="325"/>
      <c r="V9" s="217" t="str">
        <f t="shared" ref="V9:V19" si="1">IF(D9="","",AD9)</f>
        <v/>
      </c>
      <c r="W9" s="217"/>
      <c r="X9" s="217" t="str">
        <f t="shared" ref="X9:X19" si="2">IF(D9="","",IF(ISERROR(AE9),"-",AE9))</f>
        <v/>
      </c>
      <c r="Y9" s="217"/>
      <c r="Z9" s="217" t="str">
        <f t="shared" ref="Z9:Z19" si="3">IF(D9="","",D9*F9*AN9)</f>
        <v/>
      </c>
      <c r="AA9" s="218"/>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 t="shared" ref="AK9:AK19" si="8">0.01*(16+24*(2*R9+T9)/P9)</f>
        <v>#DIV/0!</v>
      </c>
      <c r="AL9" s="2" t="e">
        <f t="shared" ref="AL9:AL19" si="9">0.01*(10+15*(2*R9+T9)/P9)</f>
        <v>#DIV/0!</v>
      </c>
      <c r="AN9" s="2">
        <f t="shared" ref="AN9:AN19" si="10">IF(AO9="FALSE",H9,IF(L9="風除室",1/((1/H9)+0.1),0.5*H9+0.5*(1/((1/H9)+AO9))))</f>
        <v>0</v>
      </c>
      <c r="AO9" s="19" t="str">
        <f t="shared" si="0"/>
        <v>FALSE</v>
      </c>
    </row>
    <row r="10" spans="2:41" s="2" customFormat="1" ht="21.95" customHeight="1">
      <c r="B10" s="230"/>
      <c r="C10" s="331"/>
      <c r="D10" s="332"/>
      <c r="E10" s="333"/>
      <c r="F10" s="333"/>
      <c r="G10" s="334"/>
      <c r="H10" s="236"/>
      <c r="I10" s="236"/>
      <c r="J10" s="236"/>
      <c r="K10" s="236"/>
      <c r="L10" s="281"/>
      <c r="M10" s="281"/>
      <c r="N10" s="323"/>
      <c r="O10" s="324"/>
      <c r="P10" s="326"/>
      <c r="Q10" s="335"/>
      <c r="R10" s="330"/>
      <c r="S10" s="335"/>
      <c r="T10" s="330"/>
      <c r="U10" s="329"/>
      <c r="V10" s="217" t="str">
        <f t="shared" si="1"/>
        <v/>
      </c>
      <c r="W10" s="217"/>
      <c r="X10" s="217" t="str">
        <f t="shared" si="2"/>
        <v/>
      </c>
      <c r="Y10" s="217"/>
      <c r="Z10" s="217" t="str">
        <f t="shared" si="3"/>
        <v/>
      </c>
      <c r="AA10" s="218"/>
      <c r="AD10" s="2" t="e">
        <f t="shared" si="4"/>
        <v>#VALUE!</v>
      </c>
      <c r="AE10" s="2" t="e">
        <f t="shared" si="5"/>
        <v>#VALUE!</v>
      </c>
      <c r="AG10" s="37" t="b">
        <v>0</v>
      </c>
      <c r="AH10" s="2" t="str">
        <f t="shared" si="6"/>
        <v>エラー</v>
      </c>
      <c r="AI10" s="2" t="str">
        <f t="shared" si="7"/>
        <v>エラー</v>
      </c>
      <c r="AK10" s="2" t="e">
        <f t="shared" si="8"/>
        <v>#DIV/0!</v>
      </c>
      <c r="AL10" s="2" t="e">
        <f t="shared" si="9"/>
        <v>#DIV/0!</v>
      </c>
      <c r="AN10" s="2">
        <f t="shared" si="10"/>
        <v>0</v>
      </c>
      <c r="AO10" s="19" t="str">
        <f t="shared" si="0"/>
        <v>FALSE</v>
      </c>
    </row>
    <row r="11" spans="2:41" s="2" customFormat="1" ht="21.95" customHeight="1">
      <c r="B11" s="230"/>
      <c r="C11" s="331"/>
      <c r="D11" s="332"/>
      <c r="E11" s="333"/>
      <c r="F11" s="333"/>
      <c r="G11" s="334"/>
      <c r="H11" s="236"/>
      <c r="I11" s="236"/>
      <c r="J11" s="236"/>
      <c r="K11" s="236"/>
      <c r="L11" s="281"/>
      <c r="M11" s="281"/>
      <c r="N11" s="323"/>
      <c r="O11" s="324"/>
      <c r="P11" s="326"/>
      <c r="Q11" s="335"/>
      <c r="R11" s="330"/>
      <c r="S11" s="335"/>
      <c r="T11" s="330"/>
      <c r="U11" s="329"/>
      <c r="V11" s="217" t="str">
        <f t="shared" si="1"/>
        <v/>
      </c>
      <c r="W11" s="217"/>
      <c r="X11" s="217" t="str">
        <f t="shared" si="2"/>
        <v/>
      </c>
      <c r="Y11" s="217"/>
      <c r="Z11" s="217" t="str">
        <f t="shared" si="3"/>
        <v/>
      </c>
      <c r="AA11" s="218"/>
      <c r="AD11" s="2" t="e">
        <f t="shared" si="4"/>
        <v>#VALUE!</v>
      </c>
      <c r="AE11" s="2" t="e">
        <f t="shared" si="5"/>
        <v>#VALUE!</v>
      </c>
      <c r="AG11" s="37" t="b">
        <v>0</v>
      </c>
      <c r="AH11" s="2" t="str">
        <f t="shared" si="6"/>
        <v>エラー</v>
      </c>
      <c r="AI11" s="2" t="str">
        <f t="shared" si="7"/>
        <v>エラー</v>
      </c>
      <c r="AK11" s="2" t="e">
        <f t="shared" si="8"/>
        <v>#DIV/0!</v>
      </c>
      <c r="AL11" s="2" t="e">
        <f t="shared" si="9"/>
        <v>#DIV/0!</v>
      </c>
      <c r="AN11" s="2">
        <f t="shared" si="10"/>
        <v>0</v>
      </c>
      <c r="AO11" s="19" t="str">
        <f t="shared" si="0"/>
        <v>FALSE</v>
      </c>
    </row>
    <row r="12" spans="2:41" s="2" customFormat="1" ht="21.95" customHeight="1">
      <c r="B12" s="230"/>
      <c r="C12" s="231"/>
      <c r="D12" s="232"/>
      <c r="E12" s="285"/>
      <c r="F12" s="286"/>
      <c r="G12" s="233"/>
      <c r="H12" s="232"/>
      <c r="I12" s="233"/>
      <c r="J12" s="232"/>
      <c r="K12" s="233"/>
      <c r="L12" s="295"/>
      <c r="M12" s="296"/>
      <c r="N12" s="323"/>
      <c r="O12" s="336"/>
      <c r="P12" s="326"/>
      <c r="Q12" s="335"/>
      <c r="R12" s="330"/>
      <c r="S12" s="335"/>
      <c r="T12" s="330"/>
      <c r="U12" s="329"/>
      <c r="V12" s="215" t="str">
        <f t="shared" si="1"/>
        <v/>
      </c>
      <c r="W12" s="216"/>
      <c r="X12" s="215" t="str">
        <f t="shared" si="2"/>
        <v/>
      </c>
      <c r="Y12" s="216"/>
      <c r="Z12" s="215" t="str">
        <f t="shared" si="3"/>
        <v/>
      </c>
      <c r="AA12" s="238"/>
      <c r="AD12" s="2" t="e">
        <f t="shared" si="4"/>
        <v>#VALUE!</v>
      </c>
      <c r="AE12" s="2" t="e">
        <f t="shared" si="5"/>
        <v>#VALUE!</v>
      </c>
      <c r="AG12" s="37" t="b">
        <v>0</v>
      </c>
      <c r="AH12" s="2" t="str">
        <f t="shared" si="6"/>
        <v>エラー</v>
      </c>
      <c r="AI12" s="2" t="str">
        <f t="shared" si="7"/>
        <v>エラー</v>
      </c>
      <c r="AK12" s="2" t="e">
        <f t="shared" si="8"/>
        <v>#DIV/0!</v>
      </c>
      <c r="AL12" s="2" t="e">
        <f t="shared" si="9"/>
        <v>#DIV/0!</v>
      </c>
      <c r="AN12" s="2">
        <f t="shared" si="10"/>
        <v>0</v>
      </c>
      <c r="AO12" s="19" t="str">
        <f t="shared" si="0"/>
        <v>FALSE</v>
      </c>
    </row>
    <row r="13" spans="2:41" s="2" customFormat="1" ht="21.95" customHeight="1">
      <c r="B13" s="230"/>
      <c r="C13" s="231"/>
      <c r="D13" s="232"/>
      <c r="E13" s="285"/>
      <c r="F13" s="286"/>
      <c r="G13" s="233"/>
      <c r="H13" s="232"/>
      <c r="I13" s="233"/>
      <c r="J13" s="232"/>
      <c r="K13" s="233"/>
      <c r="L13" s="295"/>
      <c r="M13" s="296"/>
      <c r="N13" s="323"/>
      <c r="O13" s="336"/>
      <c r="P13" s="326"/>
      <c r="Q13" s="335"/>
      <c r="R13" s="330"/>
      <c r="S13" s="335"/>
      <c r="T13" s="330"/>
      <c r="U13" s="329"/>
      <c r="V13" s="215" t="str">
        <f t="shared" si="1"/>
        <v/>
      </c>
      <c r="W13" s="216"/>
      <c r="X13" s="215" t="str">
        <f t="shared" si="2"/>
        <v/>
      </c>
      <c r="Y13" s="216"/>
      <c r="Z13" s="215" t="str">
        <f t="shared" si="3"/>
        <v/>
      </c>
      <c r="AA13" s="238"/>
      <c r="AD13" s="2" t="e">
        <f t="shared" si="4"/>
        <v>#VALUE!</v>
      </c>
      <c r="AE13" s="2" t="e">
        <f t="shared" si="5"/>
        <v>#VALUE!</v>
      </c>
      <c r="AG13" s="37" t="b">
        <v>0</v>
      </c>
      <c r="AH13" s="2" t="str">
        <f t="shared" si="6"/>
        <v>エラー</v>
      </c>
      <c r="AI13" s="2" t="str">
        <f t="shared" si="7"/>
        <v>エラー</v>
      </c>
      <c r="AK13" s="2" t="e">
        <f t="shared" si="8"/>
        <v>#DIV/0!</v>
      </c>
      <c r="AL13" s="2" t="e">
        <f t="shared" si="9"/>
        <v>#DIV/0!</v>
      </c>
      <c r="AN13" s="2">
        <f t="shared" si="10"/>
        <v>0</v>
      </c>
      <c r="AO13" s="19" t="str">
        <f t="shared" si="0"/>
        <v>FALSE</v>
      </c>
    </row>
    <row r="14" spans="2:41" s="2" customFormat="1" ht="21.95" customHeight="1">
      <c r="B14" s="230"/>
      <c r="C14" s="331"/>
      <c r="D14" s="332"/>
      <c r="E14" s="333"/>
      <c r="F14" s="333"/>
      <c r="G14" s="334"/>
      <c r="H14" s="236"/>
      <c r="I14" s="236"/>
      <c r="J14" s="236"/>
      <c r="K14" s="236"/>
      <c r="L14" s="281"/>
      <c r="M14" s="281"/>
      <c r="N14" s="323"/>
      <c r="O14" s="324"/>
      <c r="P14" s="326"/>
      <c r="Q14" s="335"/>
      <c r="R14" s="330"/>
      <c r="S14" s="335"/>
      <c r="T14" s="330"/>
      <c r="U14" s="329"/>
      <c r="V14" s="217" t="str">
        <f t="shared" si="1"/>
        <v/>
      </c>
      <c r="W14" s="217"/>
      <c r="X14" s="217" t="str">
        <f t="shared" si="2"/>
        <v/>
      </c>
      <c r="Y14" s="217"/>
      <c r="Z14" s="217" t="str">
        <f t="shared" si="3"/>
        <v/>
      </c>
      <c r="AA14" s="218"/>
      <c r="AD14" s="2" t="e">
        <f t="shared" si="4"/>
        <v>#VALUE!</v>
      </c>
      <c r="AE14" s="2" t="e">
        <f t="shared" si="5"/>
        <v>#VALUE!</v>
      </c>
      <c r="AG14" s="37" t="b">
        <v>0</v>
      </c>
      <c r="AH14" s="2" t="str">
        <f t="shared" si="6"/>
        <v>エラー</v>
      </c>
      <c r="AI14" s="2" t="str">
        <f t="shared" si="7"/>
        <v>エラー</v>
      </c>
      <c r="AK14" s="2" t="e">
        <f t="shared" si="8"/>
        <v>#DIV/0!</v>
      </c>
      <c r="AL14" s="2" t="e">
        <f t="shared" si="9"/>
        <v>#DIV/0!</v>
      </c>
      <c r="AN14" s="2">
        <f t="shared" si="10"/>
        <v>0</v>
      </c>
      <c r="AO14" s="19" t="str">
        <f t="shared" si="0"/>
        <v>FALSE</v>
      </c>
    </row>
    <row r="15" spans="2:41" s="2" customFormat="1" ht="21.95" customHeight="1">
      <c r="B15" s="230"/>
      <c r="C15" s="331"/>
      <c r="D15" s="332"/>
      <c r="E15" s="333"/>
      <c r="F15" s="333"/>
      <c r="G15" s="334"/>
      <c r="H15" s="236"/>
      <c r="I15" s="236"/>
      <c r="J15" s="236"/>
      <c r="K15" s="236"/>
      <c r="L15" s="281"/>
      <c r="M15" s="281"/>
      <c r="N15" s="323"/>
      <c r="O15" s="324"/>
      <c r="P15" s="326"/>
      <c r="Q15" s="335"/>
      <c r="R15" s="330"/>
      <c r="S15" s="335"/>
      <c r="T15" s="330"/>
      <c r="U15" s="329"/>
      <c r="V15" s="215" t="str">
        <f t="shared" si="1"/>
        <v/>
      </c>
      <c r="W15" s="216"/>
      <c r="X15" s="217" t="str">
        <f t="shared" si="2"/>
        <v/>
      </c>
      <c r="Y15" s="217"/>
      <c r="Z15" s="217" t="str">
        <f t="shared" si="3"/>
        <v/>
      </c>
      <c r="AA15" s="218"/>
      <c r="AD15" s="2" t="e">
        <f t="shared" si="4"/>
        <v>#VALUE!</v>
      </c>
      <c r="AE15" s="2" t="e">
        <f t="shared" si="5"/>
        <v>#VALUE!</v>
      </c>
      <c r="AG15" s="37" t="b">
        <v>0</v>
      </c>
      <c r="AH15" s="2" t="str">
        <f t="shared" si="6"/>
        <v>エラー</v>
      </c>
      <c r="AI15" s="2" t="str">
        <f t="shared" si="7"/>
        <v>エラー</v>
      </c>
      <c r="AK15" s="2" t="e">
        <f t="shared" si="8"/>
        <v>#DIV/0!</v>
      </c>
      <c r="AL15" s="2" t="e">
        <f t="shared" si="9"/>
        <v>#DIV/0!</v>
      </c>
      <c r="AN15" s="2">
        <f t="shared" si="10"/>
        <v>0</v>
      </c>
      <c r="AO15" s="19" t="str">
        <f t="shared" si="0"/>
        <v>FALSE</v>
      </c>
    </row>
    <row r="16" spans="2:41" s="2" customFormat="1" ht="21.95" customHeight="1">
      <c r="B16" s="230"/>
      <c r="C16" s="331"/>
      <c r="D16" s="332"/>
      <c r="E16" s="333"/>
      <c r="F16" s="333"/>
      <c r="G16" s="334"/>
      <c r="H16" s="236"/>
      <c r="I16" s="236"/>
      <c r="J16" s="236"/>
      <c r="K16" s="236"/>
      <c r="L16" s="281"/>
      <c r="M16" s="281"/>
      <c r="N16" s="323"/>
      <c r="O16" s="324"/>
      <c r="P16" s="326"/>
      <c r="Q16" s="335"/>
      <c r="R16" s="330"/>
      <c r="S16" s="335"/>
      <c r="T16" s="330"/>
      <c r="U16" s="329"/>
      <c r="V16" s="215" t="str">
        <f t="shared" si="1"/>
        <v/>
      </c>
      <c r="W16" s="216"/>
      <c r="X16" s="217" t="str">
        <f t="shared" si="2"/>
        <v/>
      </c>
      <c r="Y16" s="217"/>
      <c r="Z16" s="217" t="str">
        <f t="shared" si="3"/>
        <v/>
      </c>
      <c r="AA16" s="218"/>
      <c r="AD16" s="2" t="e">
        <f t="shared" si="4"/>
        <v>#VALUE!</v>
      </c>
      <c r="AE16" s="2" t="e">
        <f t="shared" si="5"/>
        <v>#VALUE!</v>
      </c>
      <c r="AG16" s="37" t="b">
        <v>0</v>
      </c>
      <c r="AH16" s="2" t="str">
        <f t="shared" si="6"/>
        <v>エラー</v>
      </c>
      <c r="AI16" s="2" t="str">
        <f t="shared" si="7"/>
        <v>エラー</v>
      </c>
      <c r="AK16" s="2" t="e">
        <f t="shared" si="8"/>
        <v>#DIV/0!</v>
      </c>
      <c r="AL16" s="2" t="e">
        <f t="shared" si="9"/>
        <v>#DIV/0!</v>
      </c>
      <c r="AN16" s="2">
        <f t="shared" si="10"/>
        <v>0</v>
      </c>
      <c r="AO16" s="19" t="str">
        <f t="shared" si="0"/>
        <v>FALSE</v>
      </c>
    </row>
    <row r="17" spans="2:41" s="2" customFormat="1" ht="21.95" customHeight="1">
      <c r="B17" s="230"/>
      <c r="C17" s="331"/>
      <c r="D17" s="332"/>
      <c r="E17" s="333"/>
      <c r="F17" s="333"/>
      <c r="G17" s="334"/>
      <c r="H17" s="236"/>
      <c r="I17" s="236"/>
      <c r="J17" s="236"/>
      <c r="K17" s="236"/>
      <c r="L17" s="281"/>
      <c r="M17" s="281"/>
      <c r="N17" s="323"/>
      <c r="O17" s="324"/>
      <c r="P17" s="325"/>
      <c r="Q17" s="326"/>
      <c r="R17" s="330"/>
      <c r="S17" s="335"/>
      <c r="T17" s="330"/>
      <c r="U17" s="329"/>
      <c r="V17" s="215" t="str">
        <f t="shared" si="1"/>
        <v/>
      </c>
      <c r="W17" s="216"/>
      <c r="X17" s="217" t="str">
        <f t="shared" si="2"/>
        <v/>
      </c>
      <c r="Y17" s="217"/>
      <c r="Z17" s="217" t="str">
        <f t="shared" si="3"/>
        <v/>
      </c>
      <c r="AA17" s="218"/>
      <c r="AD17" s="2" t="e">
        <f t="shared" si="4"/>
        <v>#VALUE!</v>
      </c>
      <c r="AE17" s="2" t="e">
        <f t="shared" si="5"/>
        <v>#VALUE!</v>
      </c>
      <c r="AG17" s="37" t="b">
        <v>0</v>
      </c>
      <c r="AH17" s="2" t="str">
        <f t="shared" si="6"/>
        <v>エラー</v>
      </c>
      <c r="AI17" s="2" t="str">
        <f t="shared" si="7"/>
        <v>エラー</v>
      </c>
      <c r="AK17" s="2" t="e">
        <f t="shared" si="8"/>
        <v>#DIV/0!</v>
      </c>
      <c r="AL17" s="2" t="e">
        <f t="shared" si="9"/>
        <v>#DIV/0!</v>
      </c>
      <c r="AN17" s="2">
        <f t="shared" si="10"/>
        <v>0</v>
      </c>
      <c r="AO17" s="19" t="str">
        <f t="shared" si="0"/>
        <v>FALSE</v>
      </c>
    </row>
    <row r="18" spans="2:41" s="2" customFormat="1" ht="21.95" customHeight="1">
      <c r="B18" s="230"/>
      <c r="C18" s="331"/>
      <c r="D18" s="332"/>
      <c r="E18" s="333"/>
      <c r="F18" s="333"/>
      <c r="G18" s="334"/>
      <c r="H18" s="236"/>
      <c r="I18" s="236"/>
      <c r="J18" s="236"/>
      <c r="K18" s="236"/>
      <c r="L18" s="281"/>
      <c r="M18" s="281"/>
      <c r="N18" s="323"/>
      <c r="O18" s="324"/>
      <c r="P18" s="325"/>
      <c r="Q18" s="326"/>
      <c r="R18" s="327"/>
      <c r="S18" s="328"/>
      <c r="T18" s="329"/>
      <c r="U18" s="325"/>
      <c r="V18" s="215" t="str">
        <f t="shared" si="1"/>
        <v/>
      </c>
      <c r="W18" s="216"/>
      <c r="X18" s="217" t="str">
        <f t="shared" si="2"/>
        <v/>
      </c>
      <c r="Y18" s="217"/>
      <c r="Z18" s="217" t="str">
        <f>IF(D18="","",D18*F18*AN18)</f>
        <v/>
      </c>
      <c r="AA18" s="218"/>
      <c r="AD18" s="2" t="e">
        <f t="shared" si="4"/>
        <v>#VALUE!</v>
      </c>
      <c r="AE18" s="2" t="e">
        <f t="shared" si="5"/>
        <v>#VALUE!</v>
      </c>
      <c r="AG18" s="37" t="b">
        <v>0</v>
      </c>
      <c r="AH18" s="2" t="str">
        <f t="shared" si="6"/>
        <v>エラー</v>
      </c>
      <c r="AI18" s="2" t="str">
        <f t="shared" si="7"/>
        <v>エラー</v>
      </c>
      <c r="AK18" s="2" t="e">
        <f t="shared" si="8"/>
        <v>#DIV/0!</v>
      </c>
      <c r="AL18" s="2" t="e">
        <f t="shared" si="9"/>
        <v>#DIV/0!</v>
      </c>
      <c r="AN18" s="2">
        <f t="shared" si="10"/>
        <v>0</v>
      </c>
      <c r="AO18" s="19" t="str">
        <f t="shared" si="0"/>
        <v>FALSE</v>
      </c>
    </row>
    <row r="19" spans="2:41" s="2" customFormat="1" ht="21.95" customHeight="1" thickBot="1">
      <c r="B19" s="219"/>
      <c r="C19" s="316"/>
      <c r="D19" s="277"/>
      <c r="E19" s="278"/>
      <c r="F19" s="278"/>
      <c r="G19" s="279"/>
      <c r="H19" s="280"/>
      <c r="I19" s="280"/>
      <c r="J19" s="280"/>
      <c r="K19" s="280"/>
      <c r="L19" s="317"/>
      <c r="M19" s="317"/>
      <c r="N19" s="318"/>
      <c r="O19" s="319"/>
      <c r="P19" s="315"/>
      <c r="Q19" s="320"/>
      <c r="R19" s="321"/>
      <c r="S19" s="322"/>
      <c r="T19" s="314"/>
      <c r="U19" s="315"/>
      <c r="V19" s="215" t="str">
        <f t="shared" si="1"/>
        <v/>
      </c>
      <c r="W19" s="216"/>
      <c r="X19" s="217" t="str">
        <f t="shared" si="2"/>
        <v/>
      </c>
      <c r="Y19" s="217"/>
      <c r="Z19" s="226" t="str">
        <f t="shared" si="3"/>
        <v/>
      </c>
      <c r="AA19" s="229"/>
      <c r="AD19" s="2" t="e">
        <f t="shared" si="4"/>
        <v>#VALUE!</v>
      </c>
      <c r="AE19" s="2" t="e">
        <f t="shared" si="5"/>
        <v>#VALUE!</v>
      </c>
      <c r="AG19" s="37" t="b">
        <v>0</v>
      </c>
      <c r="AH19" s="2" t="str">
        <f t="shared" si="6"/>
        <v>エラー</v>
      </c>
      <c r="AI19" s="2" t="str">
        <f t="shared" si="7"/>
        <v>エラー</v>
      </c>
      <c r="AK19" s="2" t="e">
        <f t="shared" si="8"/>
        <v>#DIV/0!</v>
      </c>
      <c r="AL19" s="2" t="e">
        <f t="shared" si="9"/>
        <v>#DIV/0!</v>
      </c>
      <c r="AN19" s="2">
        <f t="shared" si="10"/>
        <v>0</v>
      </c>
      <c r="AO19" s="19" t="str">
        <f t="shared" si="0"/>
        <v>FALSE</v>
      </c>
    </row>
    <row r="20" spans="2:41" s="2" customFormat="1" ht="21.95" customHeight="1" thickBot="1">
      <c r="B20" s="200" t="s">
        <v>173</v>
      </c>
      <c r="C20" s="201"/>
      <c r="D20" s="201"/>
      <c r="E20" s="201"/>
      <c r="F20" s="201"/>
      <c r="G20" s="201"/>
      <c r="H20" s="201"/>
      <c r="I20" s="201"/>
      <c r="J20" s="201"/>
      <c r="K20" s="201"/>
      <c r="L20" s="201"/>
      <c r="M20" s="201"/>
      <c r="N20" s="201"/>
      <c r="O20" s="201"/>
      <c r="P20" s="201"/>
      <c r="Q20" s="201"/>
      <c r="R20" s="201"/>
      <c r="S20" s="201"/>
      <c r="T20" s="201"/>
      <c r="U20" s="201"/>
      <c r="V20" s="202">
        <f>SUM(V8:W19)</f>
        <v>0</v>
      </c>
      <c r="W20" s="202"/>
      <c r="X20" s="202">
        <f>IF(共通条件・結果!AA7="８地域","-",SUM(X8:Y19))</f>
        <v>0</v>
      </c>
      <c r="Y20" s="202"/>
      <c r="Z20" s="202">
        <f>SUM(Z8:AA19)</f>
        <v>0</v>
      </c>
      <c r="AA20" s="203"/>
    </row>
    <row r="21" spans="2:41" s="2" customFormat="1" ht="9.9499999999999993" customHeight="1">
      <c r="AN21" s="287"/>
      <c r="AO21" s="287"/>
    </row>
    <row r="22" spans="2:41" s="2" customFormat="1" ht="21.95" customHeight="1" thickBot="1">
      <c r="E22" s="4"/>
      <c r="J22" s="4" t="s">
        <v>13</v>
      </c>
    </row>
    <row r="23" spans="2:41" s="2" customFormat="1" ht="21.95" customHeight="1">
      <c r="J23" s="248" t="s">
        <v>14</v>
      </c>
      <c r="K23" s="195"/>
      <c r="L23" s="195"/>
      <c r="M23" s="249"/>
      <c r="N23" s="302" t="s">
        <v>140</v>
      </c>
      <c r="O23" s="195"/>
      <c r="P23" s="195"/>
      <c r="Q23" s="249"/>
      <c r="R23" s="266" t="s">
        <v>141</v>
      </c>
      <c r="S23" s="178"/>
      <c r="T23" s="306" t="s">
        <v>9</v>
      </c>
      <c r="U23" s="307"/>
      <c r="V23" s="254" t="s">
        <v>145</v>
      </c>
      <c r="W23" s="255"/>
      <c r="X23" s="254" t="s">
        <v>143</v>
      </c>
      <c r="Y23" s="255"/>
      <c r="Z23" s="254" t="s">
        <v>110</v>
      </c>
      <c r="AA23" s="196"/>
      <c r="AN23" s="287" t="s">
        <v>58</v>
      </c>
      <c r="AO23" s="287"/>
    </row>
    <row r="24" spans="2:41" s="2" customFormat="1" ht="21.95" customHeight="1">
      <c r="J24" s="250"/>
      <c r="K24" s="287"/>
      <c r="L24" s="287"/>
      <c r="M24" s="251"/>
      <c r="N24" s="303"/>
      <c r="O24" s="304"/>
      <c r="P24" s="304"/>
      <c r="Q24" s="305"/>
      <c r="R24" s="269"/>
      <c r="S24" s="267"/>
      <c r="T24" s="308"/>
      <c r="U24" s="309"/>
      <c r="V24" s="256"/>
      <c r="W24" s="257"/>
      <c r="X24" s="256"/>
      <c r="Y24" s="257"/>
      <c r="Z24" s="298"/>
      <c r="AA24" s="299"/>
      <c r="AN24" s="19"/>
      <c r="AO24" s="19"/>
    </row>
    <row r="25" spans="2:41" s="2" customFormat="1" ht="21.95" customHeight="1" thickBot="1">
      <c r="J25" s="252"/>
      <c r="K25" s="297"/>
      <c r="L25" s="297"/>
      <c r="M25" s="253"/>
      <c r="N25" s="311" t="s">
        <v>8</v>
      </c>
      <c r="O25" s="312"/>
      <c r="P25" s="313" t="s">
        <v>7</v>
      </c>
      <c r="Q25" s="268"/>
      <c r="R25" s="268"/>
      <c r="S25" s="268"/>
      <c r="T25" s="310"/>
      <c r="U25" s="310"/>
      <c r="V25" s="258"/>
      <c r="W25" s="259"/>
      <c r="X25" s="258"/>
      <c r="Y25" s="259"/>
      <c r="Z25" s="300"/>
      <c r="AA25" s="301"/>
      <c r="AN25" s="45" t="s">
        <v>56</v>
      </c>
      <c r="AO25" s="2" t="s">
        <v>54</v>
      </c>
    </row>
    <row r="26" spans="2:41" s="2" customFormat="1" ht="21.95" customHeight="1">
      <c r="D26" s="56"/>
      <c r="E26" s="56"/>
      <c r="J26" s="288"/>
      <c r="K26" s="289"/>
      <c r="L26" s="289"/>
      <c r="M26" s="290"/>
      <c r="N26" s="291"/>
      <c r="O26" s="292"/>
      <c r="P26" s="292"/>
      <c r="Q26" s="293"/>
      <c r="R26" s="245"/>
      <c r="S26" s="245"/>
      <c r="T26" s="294"/>
      <c r="U26" s="294"/>
      <c r="V26" s="246" t="str">
        <f>IF(N26="","",N26*P26*R26*0.034*$V$4)</f>
        <v/>
      </c>
      <c r="W26" s="246"/>
      <c r="X26" s="246" t="str">
        <f>IF(N26="","",IF(ISERROR(N26*P26*R26*0.034*$X$4),"-",N26*P26*R26*0.034*$X$4))</f>
        <v/>
      </c>
      <c r="Y26" s="246"/>
      <c r="Z26" s="246" t="str">
        <f>IF(N26="","",N26*P26*AN26)</f>
        <v/>
      </c>
      <c r="AA26" s="247"/>
      <c r="AD26" s="37"/>
      <c r="AN26" s="2">
        <f>IF(AO26="FALSE",R26,IF(T26="風除室",1/((1/R26)+0.1),0.5*R26+0.5*(1/((1/R26)+AO26))))</f>
        <v>0</v>
      </c>
      <c r="AO26" s="19" t="str">
        <f>IF(T26="","FALSE",IF(T26="雨戸",0.1,IF(T26="ｼｬｯﾀｰ",0.1,IF(T26="障子",0.18,IF(T26="風除室",0.1)))))</f>
        <v>FALSE</v>
      </c>
    </row>
    <row r="27" spans="2:41" s="2" customFormat="1" ht="21.95" customHeight="1">
      <c r="D27" s="56"/>
      <c r="E27" s="56"/>
      <c r="J27" s="282"/>
      <c r="K27" s="283"/>
      <c r="L27" s="283"/>
      <c r="M27" s="284"/>
      <c r="N27" s="232"/>
      <c r="O27" s="285"/>
      <c r="P27" s="286"/>
      <c r="Q27" s="233"/>
      <c r="R27" s="232"/>
      <c r="S27" s="233"/>
      <c r="T27" s="295"/>
      <c r="U27" s="296"/>
      <c r="V27" s="215" t="str">
        <f>IF(N27="","",N27*P27*R27*0.034*$V$4)</f>
        <v/>
      </c>
      <c r="W27" s="216"/>
      <c r="X27" s="215" t="str">
        <f>IF(N27="","",IF(ISERROR(N27*P27*R27*0.034*$X$4),"-",N27*P27*R27*0.034*$X$4))</f>
        <v/>
      </c>
      <c r="Y27" s="216"/>
      <c r="Z27" s="215" t="str">
        <f>IF(N27="","",N27*P27*AN27)</f>
        <v/>
      </c>
      <c r="AA27" s="238"/>
      <c r="AD27" s="37"/>
      <c r="AN27" s="2">
        <f>IF(AO27="FALSE",R27,IF(T27="風除室",1/((1/R27)+0.1),0.5*R27+0.5*(1/((1/R27)+AO27))))</f>
        <v>0</v>
      </c>
      <c r="AO27" s="19" t="str">
        <f>IF(T27="","FALSE",IF(T27="雨戸",0.1,IF(T27="ｼｬｯﾀｰ",0.1,IF(T27="障子",0.18,IF(T27="風除室",0.1)))))</f>
        <v>FALSE</v>
      </c>
    </row>
    <row r="28" spans="2:41" s="2" customFormat="1" ht="21.95" customHeight="1" thickBot="1">
      <c r="D28" s="56"/>
      <c r="E28" s="56"/>
      <c r="J28" s="274"/>
      <c r="K28" s="275"/>
      <c r="L28" s="275"/>
      <c r="M28" s="276"/>
      <c r="N28" s="277"/>
      <c r="O28" s="278"/>
      <c r="P28" s="278"/>
      <c r="Q28" s="279"/>
      <c r="R28" s="280"/>
      <c r="S28" s="280"/>
      <c r="T28" s="281"/>
      <c r="U28" s="281"/>
      <c r="V28" s="270" t="str">
        <f>IF(N28="","",N28*P28*R28*0.034*$V$4)</f>
        <v/>
      </c>
      <c r="W28" s="270"/>
      <c r="X28" s="270" t="str">
        <f>IF(N28="","",IF(ISERROR(N28*P28*R28*0.034*$X$4),"-",N28*P28*R28*0.034*$X$4))</f>
        <v/>
      </c>
      <c r="Y28" s="270"/>
      <c r="Z28" s="270" t="str">
        <f>IF(N28="","",N28*P28*AN28)</f>
        <v/>
      </c>
      <c r="AA28" s="271"/>
      <c r="AD28" s="37"/>
      <c r="AN28" s="2">
        <f>IF(AO28="FALSE",R28,IF(T28="風除室",1/((1/R28)+0.1),0.5*R28+0.5*(1/((1/R28)+AO28))))</f>
        <v>0</v>
      </c>
      <c r="AO28" s="19" t="str">
        <f>IF(T28="","FALSE",IF(T28="雨戸",0.1,IF(T28="ｼｬｯﾀｰ",0.1,IF(T28="障子",0.18,IF(T28="風除室",0.1)))))</f>
        <v>FALSE</v>
      </c>
    </row>
    <row r="29" spans="2:41" s="2" customFormat="1" ht="21.95" customHeight="1" thickBot="1">
      <c r="J29" s="200" t="s">
        <v>256</v>
      </c>
      <c r="K29" s="201"/>
      <c r="L29" s="201"/>
      <c r="M29" s="201"/>
      <c r="N29" s="201"/>
      <c r="O29" s="201"/>
      <c r="P29" s="201"/>
      <c r="Q29" s="201"/>
      <c r="R29" s="201"/>
      <c r="S29" s="201"/>
      <c r="T29" s="201"/>
      <c r="U29" s="348"/>
      <c r="V29" s="202">
        <f>SUM(V26:W28)</f>
        <v>0</v>
      </c>
      <c r="W29" s="202"/>
      <c r="X29" s="202">
        <f>SUM(X26:Y28)</f>
        <v>0</v>
      </c>
      <c r="Y29" s="202"/>
      <c r="Z29" s="202">
        <f>SUM(Z26:AA28)</f>
        <v>0</v>
      </c>
      <c r="AA29" s="203"/>
      <c r="AO29" s="19"/>
    </row>
    <row r="30" spans="2:41" s="2" customFormat="1" ht="9.9499999999999993" customHeight="1">
      <c r="J30" s="23"/>
      <c r="K30" s="23"/>
      <c r="L30" s="23"/>
      <c r="M30" s="23"/>
      <c r="N30" s="23"/>
      <c r="O30" s="23"/>
      <c r="P30" s="23"/>
      <c r="Q30" s="23"/>
      <c r="R30" s="23"/>
      <c r="S30" s="23"/>
      <c r="T30" s="23"/>
      <c r="U30" s="23"/>
      <c r="V30" s="46"/>
      <c r="W30" s="46"/>
      <c r="X30" s="46"/>
      <c r="Y30" s="46"/>
      <c r="Z30" s="46"/>
      <c r="AA30" s="46"/>
      <c r="AO30" s="19"/>
    </row>
    <row r="31" spans="2:41" s="2" customFormat="1" ht="21.95" customHeight="1" thickBot="1">
      <c r="J31" s="4" t="s">
        <v>15</v>
      </c>
      <c r="K31" s="4"/>
      <c r="L31" s="4"/>
      <c r="AO31" s="19"/>
    </row>
    <row r="32" spans="2:41" s="2" customFormat="1" ht="21.95" customHeight="1">
      <c r="J32" s="248" t="s">
        <v>0</v>
      </c>
      <c r="K32" s="249"/>
      <c r="L32" s="254" t="s">
        <v>146</v>
      </c>
      <c r="M32" s="255"/>
      <c r="N32" s="254" t="s">
        <v>147</v>
      </c>
      <c r="O32" s="255"/>
      <c r="P32" s="260" t="s">
        <v>148</v>
      </c>
      <c r="Q32" s="261"/>
      <c r="R32" s="266" t="s">
        <v>141</v>
      </c>
      <c r="S32" s="178"/>
      <c r="T32" s="266" t="s">
        <v>145</v>
      </c>
      <c r="U32" s="178"/>
      <c r="V32" s="266" t="s">
        <v>143</v>
      </c>
      <c r="W32" s="178"/>
      <c r="X32" s="266" t="s">
        <v>110</v>
      </c>
      <c r="Y32" s="179"/>
      <c r="AO32" s="19"/>
    </row>
    <row r="33" spans="2:41" s="2" customFormat="1" ht="21.95" customHeight="1">
      <c r="J33" s="250"/>
      <c r="K33" s="251"/>
      <c r="L33" s="256"/>
      <c r="M33" s="257"/>
      <c r="N33" s="256"/>
      <c r="O33" s="257"/>
      <c r="P33" s="262"/>
      <c r="Q33" s="263"/>
      <c r="R33" s="267"/>
      <c r="S33" s="267"/>
      <c r="T33" s="269"/>
      <c r="U33" s="267"/>
      <c r="V33" s="269"/>
      <c r="W33" s="267"/>
      <c r="X33" s="267"/>
      <c r="Y33" s="272"/>
      <c r="AO33" s="19"/>
    </row>
    <row r="34" spans="2:41" s="2" customFormat="1" ht="21.95" customHeight="1" thickBot="1">
      <c r="J34" s="252"/>
      <c r="K34" s="253"/>
      <c r="L34" s="258"/>
      <c r="M34" s="259"/>
      <c r="N34" s="258"/>
      <c r="O34" s="259"/>
      <c r="P34" s="264"/>
      <c r="Q34" s="265"/>
      <c r="R34" s="268"/>
      <c r="S34" s="268"/>
      <c r="T34" s="268"/>
      <c r="U34" s="268"/>
      <c r="V34" s="268"/>
      <c r="W34" s="268"/>
      <c r="X34" s="268"/>
      <c r="Y34" s="273"/>
    </row>
    <row r="35" spans="2:41" s="2" customFormat="1" ht="21.95" customHeight="1">
      <c r="J35" s="239"/>
      <c r="K35" s="240"/>
      <c r="L35" s="241"/>
      <c r="M35" s="242"/>
      <c r="N35" s="241"/>
      <c r="O35" s="242"/>
      <c r="P35" s="243" t="str">
        <f>IF(L35="","",L35-N35)</f>
        <v/>
      </c>
      <c r="Q35" s="244"/>
      <c r="R35" s="245"/>
      <c r="S35" s="245"/>
      <c r="T35" s="217" t="str">
        <f>IF(P35="","",P35*R35*0.034*$V$4)</f>
        <v/>
      </c>
      <c r="U35" s="217"/>
      <c r="V35" s="215" t="str">
        <f>IF(P35="","",IF(ISERROR(P35*R35*0.034*$X$4),"-",P35*R35*0.034*$X$4))</f>
        <v/>
      </c>
      <c r="W35" s="216"/>
      <c r="X35" s="246" t="str">
        <f>IF(R35="","",R35*P35)</f>
        <v/>
      </c>
      <c r="Y35" s="247"/>
      <c r="AD35" s="37"/>
      <c r="AE35" s="37"/>
      <c r="AF35" s="37"/>
    </row>
    <row r="36" spans="2:41" s="2" customFormat="1" ht="21.95" customHeight="1">
      <c r="J36" s="230"/>
      <c r="K36" s="231"/>
      <c r="L36" s="232"/>
      <c r="M36" s="233"/>
      <c r="N36" s="232"/>
      <c r="O36" s="233"/>
      <c r="P36" s="234" t="str">
        <f t="shared" ref="P36:P37" si="11">IF(L36="","",L36-N36)</f>
        <v/>
      </c>
      <c r="Q36" s="235"/>
      <c r="R36" s="232"/>
      <c r="S36" s="233"/>
      <c r="T36" s="215" t="str">
        <f t="shared" ref="T36:T39" si="12">IF(P36="","",P36*R36*0.034*$V$4)</f>
        <v/>
      </c>
      <c r="U36" s="216"/>
      <c r="V36" s="215" t="str">
        <f t="shared" ref="V36:V39" si="13">IF(P36="","",IF(ISERROR(P36*R36*0.034*$X$4),"-",P36*R36*0.034*$X$4))</f>
        <v/>
      </c>
      <c r="W36" s="216"/>
      <c r="X36" s="215" t="str">
        <f t="shared" ref="X36:X39" si="14">IF(R36="","",R36*P36)</f>
        <v/>
      </c>
      <c r="Y36" s="238"/>
      <c r="AD36" s="37"/>
      <c r="AE36" s="37"/>
      <c r="AF36" s="37"/>
    </row>
    <row r="37" spans="2:41" s="2" customFormat="1" ht="21.95" customHeight="1">
      <c r="J37" s="230"/>
      <c r="K37" s="231"/>
      <c r="L37" s="232"/>
      <c r="M37" s="233"/>
      <c r="N37" s="232"/>
      <c r="O37" s="233"/>
      <c r="P37" s="234" t="str">
        <f t="shared" si="11"/>
        <v/>
      </c>
      <c r="Q37" s="235"/>
      <c r="R37" s="232"/>
      <c r="S37" s="233"/>
      <c r="T37" s="215" t="str">
        <f t="shared" si="12"/>
        <v/>
      </c>
      <c r="U37" s="216"/>
      <c r="V37" s="215" t="str">
        <f t="shared" si="13"/>
        <v/>
      </c>
      <c r="W37" s="216"/>
      <c r="X37" s="215" t="str">
        <f t="shared" si="14"/>
        <v/>
      </c>
      <c r="Y37" s="238"/>
      <c r="AD37" s="37"/>
      <c r="AE37" s="37"/>
      <c r="AF37" s="37"/>
    </row>
    <row r="38" spans="2:41" s="2" customFormat="1" ht="21.95" customHeight="1">
      <c r="J38" s="230"/>
      <c r="K38" s="231"/>
      <c r="L38" s="232"/>
      <c r="M38" s="233"/>
      <c r="N38" s="232"/>
      <c r="O38" s="233"/>
      <c r="P38" s="234" t="str">
        <f>IF(L38="","",L38-N38)</f>
        <v/>
      </c>
      <c r="Q38" s="235"/>
      <c r="R38" s="236"/>
      <c r="S38" s="236"/>
      <c r="T38" s="217" t="str">
        <f t="shared" si="12"/>
        <v/>
      </c>
      <c r="U38" s="217"/>
      <c r="V38" s="215" t="str">
        <f t="shared" si="13"/>
        <v/>
      </c>
      <c r="W38" s="216"/>
      <c r="X38" s="217" t="str">
        <f t="shared" si="14"/>
        <v/>
      </c>
      <c r="Y38" s="218"/>
      <c r="AD38" s="37"/>
      <c r="AE38" s="37"/>
      <c r="AF38" s="37"/>
    </row>
    <row r="39" spans="2:41" s="2" customFormat="1" ht="21.95" customHeight="1" thickBot="1">
      <c r="J39" s="219"/>
      <c r="K39" s="220"/>
      <c r="L39" s="221"/>
      <c r="M39" s="222"/>
      <c r="N39" s="221"/>
      <c r="O39" s="222"/>
      <c r="P39" s="223" t="str">
        <f>IF(L39="","",L39-N39)</f>
        <v/>
      </c>
      <c r="Q39" s="224"/>
      <c r="R39" s="225"/>
      <c r="S39" s="225"/>
      <c r="T39" s="226" t="str">
        <f t="shared" si="12"/>
        <v/>
      </c>
      <c r="U39" s="226"/>
      <c r="V39" s="227" t="str">
        <f t="shared" si="13"/>
        <v/>
      </c>
      <c r="W39" s="228"/>
      <c r="X39" s="226" t="str">
        <f t="shared" si="14"/>
        <v/>
      </c>
      <c r="Y39" s="229"/>
      <c r="AD39" s="37"/>
      <c r="AE39" s="37"/>
      <c r="AF39" s="37"/>
    </row>
    <row r="40" spans="2:41" s="2" customFormat="1" ht="21.95" customHeight="1" thickBot="1">
      <c r="J40" s="200" t="s">
        <v>174</v>
      </c>
      <c r="K40" s="201"/>
      <c r="L40" s="201"/>
      <c r="M40" s="201"/>
      <c r="N40" s="201"/>
      <c r="O40" s="201"/>
      <c r="P40" s="201"/>
      <c r="Q40" s="201"/>
      <c r="R40" s="201"/>
      <c r="S40" s="201"/>
      <c r="T40" s="202">
        <f>SUM(T35:U39)</f>
        <v>0</v>
      </c>
      <c r="U40" s="202"/>
      <c r="V40" s="202">
        <f xml:space="preserve">
IF(共通条件・結果!AA7="８地域","-",SUM(V35:W39))</f>
        <v>0</v>
      </c>
      <c r="W40" s="202"/>
      <c r="X40" s="202">
        <f>SUM(X35:Y39)</f>
        <v>0</v>
      </c>
      <c r="Y40" s="203"/>
    </row>
    <row r="41" spans="2:41" s="2" customFormat="1" ht="12">
      <c r="J41" s="47"/>
    </row>
    <row r="42" spans="2:41" s="2" customFormat="1" ht="21.95" customHeight="1" thickBot="1">
      <c r="B42" s="4" t="s">
        <v>175</v>
      </c>
    </row>
    <row r="43" spans="2:41" s="2" customFormat="1" ht="21.95" customHeight="1">
      <c r="B43" s="204" t="s">
        <v>171</v>
      </c>
      <c r="C43" s="205"/>
      <c r="D43" s="136" t="s">
        <v>37</v>
      </c>
      <c r="E43" s="137"/>
      <c r="F43" s="137"/>
      <c r="G43" s="137"/>
      <c r="H43" s="137"/>
      <c r="I43" s="137"/>
      <c r="J43" s="138"/>
      <c r="K43" s="9"/>
      <c r="L43" s="210">
        <f>Q43+U43+Y43</f>
        <v>0</v>
      </c>
      <c r="M43" s="210"/>
      <c r="N43" s="210"/>
      <c r="O43" s="9" t="s">
        <v>22</v>
      </c>
      <c r="P43" s="10" t="s">
        <v>21</v>
      </c>
      <c r="Q43" s="211">
        <f>D8*F8+D9*F9+D10*F10+D11*F11+D12*F12+D13*F13+D14*F14+D15*F15+D16*F16+D17*F17+D18*F18+D19*F19</f>
        <v>0</v>
      </c>
      <c r="R43" s="211"/>
      <c r="S43" s="48" t="s">
        <v>23</v>
      </c>
      <c r="T43" s="48" t="s">
        <v>20</v>
      </c>
      <c r="U43" s="212">
        <f>N26*P26+N27*P27+N28*P28</f>
        <v>0</v>
      </c>
      <c r="V43" s="212"/>
      <c r="W43" s="48" t="s">
        <v>23</v>
      </c>
      <c r="X43" s="48" t="s">
        <v>1</v>
      </c>
      <c r="Y43" s="213">
        <f>SUM(P35:Q39)</f>
        <v>0</v>
      </c>
      <c r="Z43" s="214"/>
      <c r="AA43" s="49" t="s">
        <v>17</v>
      </c>
    </row>
    <row r="44" spans="2:41" s="2" customFormat="1" ht="21.95" customHeight="1">
      <c r="B44" s="206"/>
      <c r="C44" s="207"/>
      <c r="D44" s="141" t="s">
        <v>47</v>
      </c>
      <c r="E44" s="142"/>
      <c r="F44" s="142"/>
      <c r="G44" s="142"/>
      <c r="H44" s="142"/>
      <c r="I44" s="142"/>
      <c r="J44" s="143"/>
      <c r="K44" s="8"/>
      <c r="L44" s="8"/>
      <c r="M44" s="8"/>
      <c r="N44" s="8"/>
      <c r="O44" s="8"/>
      <c r="P44" s="8"/>
      <c r="Q44" s="8"/>
      <c r="R44" s="8"/>
      <c r="S44" s="8"/>
      <c r="T44" s="8"/>
      <c r="U44" s="8"/>
      <c r="V44" s="8"/>
      <c r="W44" s="197">
        <f>V20+V29+T40</f>
        <v>0</v>
      </c>
      <c r="X44" s="197"/>
      <c r="Y44" s="197"/>
      <c r="Z44" s="198" t="s">
        <v>113</v>
      </c>
      <c r="AA44" s="199"/>
    </row>
    <row r="45" spans="2:41" s="2" customFormat="1" ht="21.95" customHeight="1">
      <c r="B45" s="206"/>
      <c r="C45" s="207"/>
      <c r="D45" s="141" t="s">
        <v>48</v>
      </c>
      <c r="E45" s="142"/>
      <c r="F45" s="142"/>
      <c r="G45" s="142"/>
      <c r="H45" s="142"/>
      <c r="I45" s="142"/>
      <c r="J45" s="143"/>
      <c r="K45" s="8"/>
      <c r="L45" s="8"/>
      <c r="M45" s="8"/>
      <c r="N45" s="8"/>
      <c r="O45" s="8"/>
      <c r="P45" s="8"/>
      <c r="Q45" s="8"/>
      <c r="R45" s="8"/>
      <c r="S45" s="8"/>
      <c r="T45" s="8"/>
      <c r="U45" s="8"/>
      <c r="V45" s="8"/>
      <c r="W45" s="197">
        <f>IF(共通条件・結果!AA7="８地域","-",$X$20+$X$29+$V$40)</f>
        <v>0</v>
      </c>
      <c r="X45" s="197"/>
      <c r="Y45" s="197"/>
      <c r="Z45" s="198" t="s">
        <v>113</v>
      </c>
      <c r="AA45" s="199"/>
    </row>
    <row r="46" spans="2:41" s="2" customFormat="1" ht="21.95" customHeight="1" thickBot="1">
      <c r="B46" s="208"/>
      <c r="C46" s="209"/>
      <c r="D46" s="180" t="s">
        <v>18</v>
      </c>
      <c r="E46" s="181"/>
      <c r="F46" s="181"/>
      <c r="G46" s="181"/>
      <c r="H46" s="181"/>
      <c r="I46" s="181"/>
      <c r="J46" s="182"/>
      <c r="K46" s="7"/>
      <c r="L46" s="7"/>
      <c r="M46" s="7"/>
      <c r="N46" s="7"/>
      <c r="O46" s="7"/>
      <c r="P46" s="7"/>
      <c r="Q46" s="7"/>
      <c r="R46" s="7"/>
      <c r="S46" s="7"/>
      <c r="T46" s="7"/>
      <c r="U46" s="7"/>
      <c r="V46" s="7"/>
      <c r="W46" s="237">
        <f>Z20+Z29+X40</f>
        <v>0</v>
      </c>
      <c r="X46" s="237"/>
      <c r="Y46" s="237"/>
      <c r="Z46" s="44" t="s">
        <v>19</v>
      </c>
      <c r="AA46" s="50"/>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89xRWKDXJgE4L3IUGa3WxOQI51TUaT2SWmrjcrL7vN23RdpJDZUjadpy2qjI1oLFRvBoSukbDXi72sZMmqcgag==" saltValue="Fs/o0o/6Hu11LUBcsLkvBg==" spinCount="100000" sheet="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B8:U19">
    <cfRule type="expression" dxfId="126" priority="155" stopIfTrue="1">
      <formula>$AE$2&lt;&gt;2</formula>
    </cfRule>
  </conditionalFormatting>
  <conditionalFormatting sqref="J35:O39">
    <cfRule type="expression" dxfId="125" priority="81" stopIfTrue="1">
      <formula>$AE$2&lt;&gt;2</formula>
    </cfRule>
  </conditionalFormatting>
  <conditionalFormatting sqref="J26:U28">
    <cfRule type="expression" dxfId="124" priority="119" stopIfTrue="1">
      <formula>$AE$2&lt;&gt;2</formula>
    </cfRule>
  </conditionalFormatting>
  <conditionalFormatting sqref="L43:N43">
    <cfRule type="expression" dxfId="123" priority="7">
      <formula>$AE$2&lt;&gt;2</formula>
    </cfRule>
  </conditionalFormatting>
  <conditionalFormatting sqref="P35:Q39">
    <cfRule type="expression" dxfId="122" priority="14">
      <formula>$AE$2&lt;&gt;2</formula>
    </cfRule>
  </conditionalFormatting>
  <conditionalFormatting sqref="Q43:R43">
    <cfRule type="expression" dxfId="121" priority="6">
      <formula>$AE$2&lt;&gt;2</formula>
    </cfRule>
  </conditionalFormatting>
  <conditionalFormatting sqref="R35:S39">
    <cfRule type="expression" dxfId="120" priority="79" stopIfTrue="1">
      <formula>$AE$2&lt;&gt;2</formula>
    </cfRule>
  </conditionalFormatting>
  <conditionalFormatting sqref="T35:Y40">
    <cfRule type="expression" dxfId="119" priority="8">
      <formula>$AE$2&lt;&gt;2</formula>
    </cfRule>
  </conditionalFormatting>
  <conditionalFormatting sqref="U43:V43">
    <cfRule type="expression" dxfId="118" priority="5">
      <formula>$AE$2&lt;&gt;2</formula>
    </cfRule>
  </conditionalFormatting>
  <conditionalFormatting sqref="V8:AA19">
    <cfRule type="expression" dxfId="117" priority="43">
      <formula>$AE$2&lt;&gt;2</formula>
    </cfRule>
  </conditionalFormatting>
  <conditionalFormatting sqref="V26:AA29">
    <cfRule type="expression" dxfId="116" priority="31">
      <formula>$AE$2&lt;&gt;2</formula>
    </cfRule>
  </conditionalFormatting>
  <conditionalFormatting sqref="W44:Y46">
    <cfRule type="expression" dxfId="115" priority="1">
      <formula>$AE$2&lt;&gt;2</formula>
    </cfRule>
  </conditionalFormatting>
  <conditionalFormatting sqref="Y43:Z43">
    <cfRule type="expression" dxfId="114" priority="4">
      <formula>$AE$2&lt;&gt;2</formula>
    </cfRule>
  </conditionalFormatting>
  <dataValidations count="1">
    <dataValidation type="list" allowBlank="1" showInputMessage="1" showErrorMessage="1" sqref="M14:M19 L8:L19 M8:M11 U26 U28 T26:T28" xr:uid="{00000000-0002-0000-01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7521"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07522"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07523"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07524"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07525"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07526"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07527"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07528"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07529"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07530"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07531"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07532"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S108"/>
  <sheetViews>
    <sheetView view="pageBreakPreview" zoomScale="85" zoomScaleNormal="100" zoomScaleSheetLayoutView="85" workbookViewId="0">
      <selection activeCell="B14" sqref="B14:C14"/>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361" t="s">
        <v>176</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E2" s="101">
        <f>共通条件・結果!AE2</f>
        <v>1</v>
      </c>
    </row>
    <row r="3" spans="2:41" s="2" customFormat="1" ht="24.95" customHeight="1" thickBot="1">
      <c r="AE3" s="2" t="s">
        <v>271</v>
      </c>
    </row>
    <row r="4" spans="2:41" s="2" customFormat="1" ht="21.95" customHeight="1" thickBot="1">
      <c r="B4" s="4" t="s">
        <v>5</v>
      </c>
      <c r="R4" s="362" t="s">
        <v>33</v>
      </c>
      <c r="S4" s="363"/>
      <c r="T4" s="363"/>
      <c r="U4" s="364"/>
      <c r="V4" s="365" t="b">
        <f>IF(共通条件・結果!AA7="８地域","0.414",IF(共通条件・結果!AA7="７地域",0.415,IF(共通条件・結果!AA7="６地域",0.431,IF(共通条件・結果!AA7="５地域",0.437,IF(共通条件・結果!AA7="４地域",0.426,IF(共通条件・結果!AA7="３地域",0.39,IF(共通条件・結果!AA7="２地域",0.412,IF(共通条件・結果!AA7="１地域",0.43))))))))</f>
        <v>0</v>
      </c>
      <c r="W4" s="366"/>
      <c r="X4" s="365" t="b">
        <f>IF(共通条件・結果!AA7="８地域","-",IF(共通条件・結果!AA7="７地域",0.281,IF(共通条件・結果!AA7="６地域",0.325,IF(共通条件・結果!AA7="５地域",0.31,IF(共通条件・結果!AA7="４地域",0.33,IF(共通条件・結果!AA7="３地域",0.348,IF(共通条件・結果!AA7="２地域",0.341,IF(共通条件・結果!AA7="１地域",0.333))))))))</f>
        <v>0</v>
      </c>
      <c r="Y4" s="366"/>
    </row>
    <row r="5" spans="2:41" s="2" customFormat="1" ht="21.95" customHeight="1">
      <c r="B5" s="367" t="s">
        <v>6</v>
      </c>
      <c r="C5" s="178"/>
      <c r="D5" s="178" t="s">
        <v>140</v>
      </c>
      <c r="E5" s="178"/>
      <c r="F5" s="178"/>
      <c r="G5" s="178"/>
      <c r="H5" s="266" t="s">
        <v>141</v>
      </c>
      <c r="I5" s="178"/>
      <c r="J5" s="266" t="s">
        <v>65</v>
      </c>
      <c r="K5" s="178"/>
      <c r="L5" s="266" t="s">
        <v>9</v>
      </c>
      <c r="M5" s="178"/>
      <c r="N5" s="370" t="s">
        <v>46</v>
      </c>
      <c r="O5" s="214"/>
      <c r="P5" s="214"/>
      <c r="Q5" s="214"/>
      <c r="R5" s="214"/>
      <c r="S5" s="214"/>
      <c r="T5" s="214"/>
      <c r="U5" s="214"/>
      <c r="V5" s="266" t="s">
        <v>142</v>
      </c>
      <c r="W5" s="178"/>
      <c r="X5" s="266" t="s">
        <v>143</v>
      </c>
      <c r="Y5" s="178"/>
      <c r="Z5" s="266" t="s">
        <v>110</v>
      </c>
      <c r="AA5" s="179"/>
    </row>
    <row r="6" spans="2:41" s="2" customFormat="1" ht="21.95" customHeight="1">
      <c r="B6" s="368"/>
      <c r="C6" s="267"/>
      <c r="D6" s="349" t="s">
        <v>8</v>
      </c>
      <c r="E6" s="350"/>
      <c r="F6" s="353" t="s">
        <v>7</v>
      </c>
      <c r="G6" s="354"/>
      <c r="H6" s="267"/>
      <c r="I6" s="267"/>
      <c r="J6" s="269"/>
      <c r="K6" s="267"/>
      <c r="L6" s="269"/>
      <c r="M6" s="267"/>
      <c r="N6" s="355" t="s">
        <v>45</v>
      </c>
      <c r="O6" s="356"/>
      <c r="P6" s="358" t="s">
        <v>144</v>
      </c>
      <c r="Q6" s="359"/>
      <c r="R6" s="359"/>
      <c r="S6" s="359"/>
      <c r="T6" s="359"/>
      <c r="U6" s="360"/>
      <c r="V6" s="269"/>
      <c r="W6" s="267"/>
      <c r="X6" s="269"/>
      <c r="Y6" s="267"/>
      <c r="Z6" s="267"/>
      <c r="AA6" s="272"/>
      <c r="AD6" s="287" t="s">
        <v>49</v>
      </c>
      <c r="AE6" s="287"/>
      <c r="AF6" s="19"/>
      <c r="AG6" s="19"/>
      <c r="AH6" s="287" t="s">
        <v>12</v>
      </c>
      <c r="AI6" s="287"/>
      <c r="AJ6" s="19"/>
      <c r="AK6" s="287" t="s">
        <v>50</v>
      </c>
      <c r="AL6" s="287"/>
      <c r="AN6" s="287" t="s">
        <v>58</v>
      </c>
      <c r="AO6" s="287"/>
    </row>
    <row r="7" spans="2:41" s="2" customFormat="1" ht="21.95" customHeight="1" thickBot="1">
      <c r="B7" s="369"/>
      <c r="C7" s="268"/>
      <c r="D7" s="351"/>
      <c r="E7" s="352"/>
      <c r="F7" s="297"/>
      <c r="G7" s="253"/>
      <c r="H7" s="268"/>
      <c r="I7" s="268"/>
      <c r="J7" s="268"/>
      <c r="K7" s="268"/>
      <c r="L7" s="268"/>
      <c r="M7" s="268"/>
      <c r="N7" s="258"/>
      <c r="O7" s="357"/>
      <c r="P7" s="253" t="s">
        <v>10</v>
      </c>
      <c r="Q7" s="300"/>
      <c r="R7" s="346" t="s">
        <v>11</v>
      </c>
      <c r="S7" s="347"/>
      <c r="T7" s="253" t="s">
        <v>3</v>
      </c>
      <c r="U7" s="300"/>
      <c r="V7" s="268"/>
      <c r="W7" s="268"/>
      <c r="X7" s="268"/>
      <c r="Y7" s="268"/>
      <c r="Z7" s="268"/>
      <c r="AA7" s="273"/>
      <c r="AD7" s="19" t="s">
        <v>4</v>
      </c>
      <c r="AE7" s="19" t="s">
        <v>16</v>
      </c>
      <c r="AF7" s="19"/>
      <c r="AG7" s="19"/>
      <c r="AH7" s="19" t="s">
        <v>4</v>
      </c>
      <c r="AI7" s="19" t="s">
        <v>16</v>
      </c>
      <c r="AJ7" s="19"/>
      <c r="AK7" s="19" t="s">
        <v>4</v>
      </c>
      <c r="AL7" s="19" t="s">
        <v>16</v>
      </c>
      <c r="AN7" s="45" t="s">
        <v>56</v>
      </c>
      <c r="AO7" s="2" t="s">
        <v>54</v>
      </c>
    </row>
    <row r="8" spans="2:41" s="2" customFormat="1" ht="21.95" customHeight="1">
      <c r="B8" s="239"/>
      <c r="C8" s="345"/>
      <c r="D8" s="291"/>
      <c r="E8" s="292"/>
      <c r="F8" s="292"/>
      <c r="G8" s="293"/>
      <c r="H8" s="245"/>
      <c r="I8" s="245"/>
      <c r="J8" s="245"/>
      <c r="K8" s="245"/>
      <c r="L8" s="317" t="s">
        <v>44</v>
      </c>
      <c r="M8" s="317"/>
      <c r="N8" s="337"/>
      <c r="O8" s="338"/>
      <c r="P8" s="339"/>
      <c r="Q8" s="340"/>
      <c r="R8" s="341"/>
      <c r="S8" s="342"/>
      <c r="T8" s="343"/>
      <c r="U8" s="339"/>
      <c r="V8" s="344" t="str">
        <f>IF(D8="","",AD8)</f>
        <v/>
      </c>
      <c r="W8" s="344"/>
      <c r="X8" s="344" t="str">
        <f t="shared" ref="X8:X19" si="0">IF(D8="","",IF(ISERROR(AE8),"-",AE8))</f>
        <v/>
      </c>
      <c r="Y8" s="344"/>
      <c r="Z8" s="344" t="str">
        <f>IF(D8="","",D8*F8*AN8)</f>
        <v/>
      </c>
      <c r="AA8" s="371"/>
      <c r="AD8" s="2" t="e">
        <f>D8*F8*J8*$V$4*AH8</f>
        <v>#VALUE!</v>
      </c>
      <c r="AE8" s="2" t="e">
        <f>D8*F8*J8*$X$4*AI8</f>
        <v>#VALUE!</v>
      </c>
      <c r="AG8" s="37" t="b">
        <v>0</v>
      </c>
      <c r="AH8" s="2" t="str">
        <f>IF(AG8=TRUE,"0.93",IF(ISERROR(AK8),"エラー",IF(AK8&gt;0.93,"0.93",AK8)))</f>
        <v>エラー</v>
      </c>
      <c r="AI8" s="2" t="str">
        <f>IF(AG8=TRUE,"0.51",IF(ISERROR(AL8),"エラー",IF(AL8&gt;0.72,"0.72",AL8)))</f>
        <v>エラー</v>
      </c>
      <c r="AK8" s="2" t="e">
        <f>0.01*(16+24*(2*R8+T8)/P8)</f>
        <v>#DIV/0!</v>
      </c>
      <c r="AL8" s="2" t="e">
        <f>0.01*(10+15*(2*R8+T8)/P8)</f>
        <v>#DIV/0!</v>
      </c>
      <c r="AN8" s="2" t="e">
        <f>IF(AO8="FALSE",H8,IF(L8="風除室",1/((1/H8)+0.1),0.5*H8+0.5*(1/((1/H8)+AO8))))</f>
        <v>#DIV/0!</v>
      </c>
      <c r="AO8" s="19" t="b">
        <f t="shared" ref="AO8:AO19" si="1">IF(L8="","FALSE",IF(L8="雨戸",0.1,IF(L8="ｼｬｯﾀｰ",0.1,IF(L8="障子",0.18,IF(L8="風除室",0.1)))))</f>
        <v>0</v>
      </c>
    </row>
    <row r="9" spans="2:41" s="2" customFormat="1" ht="21.95" customHeight="1">
      <c r="B9" s="230"/>
      <c r="C9" s="331"/>
      <c r="D9" s="332"/>
      <c r="E9" s="333"/>
      <c r="F9" s="333"/>
      <c r="G9" s="334"/>
      <c r="H9" s="236"/>
      <c r="I9" s="236"/>
      <c r="J9" s="236"/>
      <c r="K9" s="236"/>
      <c r="L9" s="281"/>
      <c r="M9" s="281"/>
      <c r="N9" s="323"/>
      <c r="O9" s="324"/>
      <c r="P9" s="325"/>
      <c r="Q9" s="326"/>
      <c r="R9" s="327"/>
      <c r="S9" s="328"/>
      <c r="T9" s="329"/>
      <c r="U9" s="325"/>
      <c r="V9" s="217" t="str">
        <f t="shared" ref="V9:V19" si="2">IF(D9="","",AD9)</f>
        <v/>
      </c>
      <c r="W9" s="217"/>
      <c r="X9" s="217" t="str">
        <f t="shared" si="0"/>
        <v/>
      </c>
      <c r="Y9" s="217"/>
      <c r="Z9" s="217" t="str">
        <f t="shared" ref="Z9:Z19" si="3">IF(D9="","",D9*F9*AN9)</f>
        <v/>
      </c>
      <c r="AA9" s="218"/>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 t="shared" ref="AK9:AK19" si="8">0.01*(16+24*(2*R9+T9)/P9)</f>
        <v>#DIV/0!</v>
      </c>
      <c r="AL9" s="2" t="e">
        <f t="shared" ref="AL9:AL19" si="9">0.01*(10+15*(2*R9+T9)/P9)</f>
        <v>#DIV/0!</v>
      </c>
      <c r="AN9" s="2">
        <f t="shared" ref="AN9:AN19" si="10">IF(AO9="FALSE",H9,IF(L9="風除室",1/((1/H9)+0.1),0.5*H9+0.5*(1/((1/H9)+AO9))))</f>
        <v>0</v>
      </c>
      <c r="AO9" s="19" t="str">
        <f t="shared" si="1"/>
        <v>FALSE</v>
      </c>
    </row>
    <row r="10" spans="2:41" s="2" customFormat="1" ht="21.95" customHeight="1">
      <c r="B10" s="230"/>
      <c r="C10" s="331"/>
      <c r="D10" s="332"/>
      <c r="E10" s="333"/>
      <c r="F10" s="333"/>
      <c r="G10" s="334"/>
      <c r="H10" s="236"/>
      <c r="I10" s="236"/>
      <c r="J10" s="236"/>
      <c r="K10" s="236"/>
      <c r="L10" s="281"/>
      <c r="M10" s="281"/>
      <c r="N10" s="323"/>
      <c r="O10" s="324"/>
      <c r="P10" s="326"/>
      <c r="Q10" s="335"/>
      <c r="R10" s="330"/>
      <c r="S10" s="335"/>
      <c r="T10" s="330"/>
      <c r="U10" s="329"/>
      <c r="V10" s="217" t="str">
        <f t="shared" si="2"/>
        <v/>
      </c>
      <c r="W10" s="217"/>
      <c r="X10" s="217" t="str">
        <f t="shared" si="0"/>
        <v/>
      </c>
      <c r="Y10" s="217"/>
      <c r="Z10" s="217" t="str">
        <f t="shared" si="3"/>
        <v/>
      </c>
      <c r="AA10" s="218"/>
      <c r="AD10" s="2" t="e">
        <f t="shared" si="4"/>
        <v>#VALUE!</v>
      </c>
      <c r="AE10" s="2" t="e">
        <f t="shared" si="5"/>
        <v>#VALUE!</v>
      </c>
      <c r="AG10" s="37" t="b">
        <v>0</v>
      </c>
      <c r="AH10" s="2" t="str">
        <f t="shared" si="6"/>
        <v>エラー</v>
      </c>
      <c r="AI10" s="2" t="str">
        <f t="shared" si="7"/>
        <v>エラー</v>
      </c>
      <c r="AK10" s="2" t="e">
        <f t="shared" si="8"/>
        <v>#DIV/0!</v>
      </c>
      <c r="AL10" s="2" t="e">
        <f t="shared" si="9"/>
        <v>#DIV/0!</v>
      </c>
      <c r="AN10" s="2">
        <f t="shared" si="10"/>
        <v>0</v>
      </c>
      <c r="AO10" s="19" t="str">
        <f t="shared" si="1"/>
        <v>FALSE</v>
      </c>
    </row>
    <row r="11" spans="2:41" s="2" customFormat="1" ht="21.95" customHeight="1">
      <c r="B11" s="230"/>
      <c r="C11" s="331"/>
      <c r="D11" s="332"/>
      <c r="E11" s="333"/>
      <c r="F11" s="333"/>
      <c r="G11" s="334"/>
      <c r="H11" s="236"/>
      <c r="I11" s="236"/>
      <c r="J11" s="236"/>
      <c r="K11" s="236"/>
      <c r="L11" s="281"/>
      <c r="M11" s="281"/>
      <c r="N11" s="323"/>
      <c r="O11" s="324"/>
      <c r="P11" s="326"/>
      <c r="Q11" s="335"/>
      <c r="R11" s="330"/>
      <c r="S11" s="335"/>
      <c r="T11" s="330"/>
      <c r="U11" s="329"/>
      <c r="V11" s="217" t="str">
        <f t="shared" si="2"/>
        <v/>
      </c>
      <c r="W11" s="217"/>
      <c r="X11" s="217" t="str">
        <f t="shared" si="0"/>
        <v/>
      </c>
      <c r="Y11" s="217"/>
      <c r="Z11" s="217" t="str">
        <f t="shared" si="3"/>
        <v/>
      </c>
      <c r="AA11" s="218"/>
      <c r="AD11" s="2" t="e">
        <f t="shared" si="4"/>
        <v>#VALUE!</v>
      </c>
      <c r="AE11" s="2" t="e">
        <f t="shared" si="5"/>
        <v>#VALUE!</v>
      </c>
      <c r="AG11" s="37" t="b">
        <v>0</v>
      </c>
      <c r="AH11" s="2" t="str">
        <f t="shared" si="6"/>
        <v>エラー</v>
      </c>
      <c r="AI11" s="2" t="str">
        <f t="shared" si="7"/>
        <v>エラー</v>
      </c>
      <c r="AK11" s="2" t="e">
        <f t="shared" si="8"/>
        <v>#DIV/0!</v>
      </c>
      <c r="AL11" s="2" t="e">
        <f t="shared" si="9"/>
        <v>#DIV/0!</v>
      </c>
      <c r="AN11" s="2">
        <f t="shared" si="10"/>
        <v>0</v>
      </c>
      <c r="AO11" s="19" t="str">
        <f t="shared" si="1"/>
        <v>FALSE</v>
      </c>
    </row>
    <row r="12" spans="2:41" s="2" customFormat="1" ht="21.95" customHeight="1">
      <c r="B12" s="230"/>
      <c r="C12" s="231"/>
      <c r="D12" s="232"/>
      <c r="E12" s="285"/>
      <c r="F12" s="286"/>
      <c r="G12" s="233"/>
      <c r="H12" s="232"/>
      <c r="I12" s="233"/>
      <c r="J12" s="232"/>
      <c r="K12" s="233"/>
      <c r="L12" s="295"/>
      <c r="M12" s="296"/>
      <c r="N12" s="323"/>
      <c r="O12" s="336"/>
      <c r="P12" s="326"/>
      <c r="Q12" s="335"/>
      <c r="R12" s="330"/>
      <c r="S12" s="335"/>
      <c r="T12" s="330"/>
      <c r="U12" s="329"/>
      <c r="V12" s="215" t="str">
        <f t="shared" si="2"/>
        <v/>
      </c>
      <c r="W12" s="216"/>
      <c r="X12" s="215" t="str">
        <f t="shared" si="0"/>
        <v/>
      </c>
      <c r="Y12" s="216"/>
      <c r="Z12" s="215" t="str">
        <f t="shared" si="3"/>
        <v/>
      </c>
      <c r="AA12" s="238"/>
      <c r="AD12" s="2" t="e">
        <f t="shared" si="4"/>
        <v>#VALUE!</v>
      </c>
      <c r="AE12" s="2" t="e">
        <f t="shared" si="5"/>
        <v>#VALUE!</v>
      </c>
      <c r="AG12" s="37" t="b">
        <v>0</v>
      </c>
      <c r="AH12" s="2" t="str">
        <f t="shared" si="6"/>
        <v>エラー</v>
      </c>
      <c r="AI12" s="2" t="str">
        <f t="shared" si="7"/>
        <v>エラー</v>
      </c>
      <c r="AK12" s="2" t="e">
        <f t="shared" si="8"/>
        <v>#DIV/0!</v>
      </c>
      <c r="AL12" s="2" t="e">
        <f t="shared" si="9"/>
        <v>#DIV/0!</v>
      </c>
      <c r="AN12" s="2">
        <f t="shared" si="10"/>
        <v>0</v>
      </c>
      <c r="AO12" s="19" t="str">
        <f t="shared" si="1"/>
        <v>FALSE</v>
      </c>
    </row>
    <row r="13" spans="2:41" s="2" customFormat="1" ht="21.95" customHeight="1">
      <c r="B13" s="230"/>
      <c r="C13" s="231"/>
      <c r="D13" s="232"/>
      <c r="E13" s="285"/>
      <c r="F13" s="286"/>
      <c r="G13" s="233"/>
      <c r="H13" s="232"/>
      <c r="I13" s="233"/>
      <c r="J13" s="232"/>
      <c r="K13" s="233"/>
      <c r="L13" s="295"/>
      <c r="M13" s="296"/>
      <c r="N13" s="323"/>
      <c r="O13" s="336"/>
      <c r="P13" s="326"/>
      <c r="Q13" s="335"/>
      <c r="R13" s="330"/>
      <c r="S13" s="335"/>
      <c r="T13" s="330"/>
      <c r="U13" s="329"/>
      <c r="V13" s="215" t="str">
        <f t="shared" si="2"/>
        <v/>
      </c>
      <c r="W13" s="216"/>
      <c r="X13" s="215" t="str">
        <f t="shared" si="0"/>
        <v/>
      </c>
      <c r="Y13" s="216"/>
      <c r="Z13" s="215" t="str">
        <f t="shared" si="3"/>
        <v/>
      </c>
      <c r="AA13" s="238"/>
      <c r="AD13" s="2" t="e">
        <f t="shared" si="4"/>
        <v>#VALUE!</v>
      </c>
      <c r="AE13" s="2" t="e">
        <f t="shared" si="5"/>
        <v>#VALUE!</v>
      </c>
      <c r="AG13" s="37" t="b">
        <v>0</v>
      </c>
      <c r="AH13" s="2" t="str">
        <f t="shared" si="6"/>
        <v>エラー</v>
      </c>
      <c r="AI13" s="2" t="str">
        <f t="shared" si="7"/>
        <v>エラー</v>
      </c>
      <c r="AK13" s="2" t="e">
        <f t="shared" si="8"/>
        <v>#DIV/0!</v>
      </c>
      <c r="AL13" s="2" t="e">
        <f t="shared" si="9"/>
        <v>#DIV/0!</v>
      </c>
      <c r="AN13" s="2">
        <f t="shared" si="10"/>
        <v>0</v>
      </c>
      <c r="AO13" s="19" t="str">
        <f t="shared" si="1"/>
        <v>FALSE</v>
      </c>
    </row>
    <row r="14" spans="2:41" s="2" customFormat="1" ht="21.95" customHeight="1">
      <c r="B14" s="230"/>
      <c r="C14" s="331"/>
      <c r="D14" s="332"/>
      <c r="E14" s="333"/>
      <c r="F14" s="333"/>
      <c r="G14" s="334"/>
      <c r="H14" s="236"/>
      <c r="I14" s="236"/>
      <c r="J14" s="236"/>
      <c r="K14" s="236"/>
      <c r="L14" s="281"/>
      <c r="M14" s="281"/>
      <c r="N14" s="323"/>
      <c r="O14" s="324"/>
      <c r="P14" s="326"/>
      <c r="Q14" s="335"/>
      <c r="R14" s="330"/>
      <c r="S14" s="335"/>
      <c r="T14" s="330"/>
      <c r="U14" s="329"/>
      <c r="V14" s="217" t="str">
        <f t="shared" si="2"/>
        <v/>
      </c>
      <c r="W14" s="217"/>
      <c r="X14" s="217" t="str">
        <f t="shared" si="0"/>
        <v/>
      </c>
      <c r="Y14" s="217"/>
      <c r="Z14" s="217" t="str">
        <f t="shared" si="3"/>
        <v/>
      </c>
      <c r="AA14" s="218"/>
      <c r="AD14" s="2" t="e">
        <f t="shared" si="4"/>
        <v>#VALUE!</v>
      </c>
      <c r="AE14" s="2" t="e">
        <f t="shared" si="5"/>
        <v>#VALUE!</v>
      </c>
      <c r="AG14" s="37" t="b">
        <v>0</v>
      </c>
      <c r="AH14" s="2" t="str">
        <f t="shared" si="6"/>
        <v>エラー</v>
      </c>
      <c r="AI14" s="2" t="str">
        <f t="shared" si="7"/>
        <v>エラー</v>
      </c>
      <c r="AK14" s="2" t="e">
        <f t="shared" si="8"/>
        <v>#DIV/0!</v>
      </c>
      <c r="AL14" s="2" t="e">
        <f t="shared" si="9"/>
        <v>#DIV/0!</v>
      </c>
      <c r="AN14" s="2">
        <f t="shared" si="10"/>
        <v>0</v>
      </c>
      <c r="AO14" s="19" t="str">
        <f t="shared" si="1"/>
        <v>FALSE</v>
      </c>
    </row>
    <row r="15" spans="2:41" s="2" customFormat="1" ht="21.95" customHeight="1">
      <c r="B15" s="230"/>
      <c r="C15" s="331"/>
      <c r="D15" s="332"/>
      <c r="E15" s="333"/>
      <c r="F15" s="333"/>
      <c r="G15" s="334"/>
      <c r="H15" s="236"/>
      <c r="I15" s="236"/>
      <c r="J15" s="236"/>
      <c r="K15" s="236"/>
      <c r="L15" s="281"/>
      <c r="M15" s="281"/>
      <c r="N15" s="323"/>
      <c r="O15" s="324"/>
      <c r="P15" s="326"/>
      <c r="Q15" s="335"/>
      <c r="R15" s="330"/>
      <c r="S15" s="335"/>
      <c r="T15" s="330"/>
      <c r="U15" s="329"/>
      <c r="V15" s="215" t="str">
        <f t="shared" si="2"/>
        <v/>
      </c>
      <c r="W15" s="216"/>
      <c r="X15" s="217" t="str">
        <f t="shared" si="0"/>
        <v/>
      </c>
      <c r="Y15" s="217"/>
      <c r="Z15" s="217" t="str">
        <f t="shared" si="3"/>
        <v/>
      </c>
      <c r="AA15" s="218"/>
      <c r="AD15" s="2" t="e">
        <f t="shared" si="4"/>
        <v>#VALUE!</v>
      </c>
      <c r="AE15" s="2" t="e">
        <f t="shared" si="5"/>
        <v>#VALUE!</v>
      </c>
      <c r="AG15" s="37" t="b">
        <v>0</v>
      </c>
      <c r="AH15" s="2" t="str">
        <f t="shared" si="6"/>
        <v>エラー</v>
      </c>
      <c r="AI15" s="2" t="str">
        <f t="shared" si="7"/>
        <v>エラー</v>
      </c>
      <c r="AK15" s="2" t="e">
        <f t="shared" si="8"/>
        <v>#DIV/0!</v>
      </c>
      <c r="AL15" s="2" t="e">
        <f t="shared" si="9"/>
        <v>#DIV/0!</v>
      </c>
      <c r="AN15" s="2">
        <f t="shared" si="10"/>
        <v>0</v>
      </c>
      <c r="AO15" s="19" t="str">
        <f t="shared" si="1"/>
        <v>FALSE</v>
      </c>
    </row>
    <row r="16" spans="2:41" s="2" customFormat="1" ht="21.95" customHeight="1">
      <c r="B16" s="230"/>
      <c r="C16" s="331"/>
      <c r="D16" s="332"/>
      <c r="E16" s="333"/>
      <c r="F16" s="333"/>
      <c r="G16" s="334"/>
      <c r="H16" s="236"/>
      <c r="I16" s="236"/>
      <c r="J16" s="236"/>
      <c r="K16" s="236"/>
      <c r="L16" s="281"/>
      <c r="M16" s="281"/>
      <c r="N16" s="323"/>
      <c r="O16" s="324"/>
      <c r="P16" s="326"/>
      <c r="Q16" s="335"/>
      <c r="R16" s="330"/>
      <c r="S16" s="335"/>
      <c r="T16" s="330"/>
      <c r="U16" s="329"/>
      <c r="V16" s="215" t="str">
        <f t="shared" si="2"/>
        <v/>
      </c>
      <c r="W16" s="216"/>
      <c r="X16" s="217" t="str">
        <f t="shared" si="0"/>
        <v/>
      </c>
      <c r="Y16" s="217"/>
      <c r="Z16" s="217" t="str">
        <f t="shared" si="3"/>
        <v/>
      </c>
      <c r="AA16" s="218"/>
      <c r="AD16" s="2" t="e">
        <f t="shared" si="4"/>
        <v>#VALUE!</v>
      </c>
      <c r="AE16" s="2" t="e">
        <f t="shared" si="5"/>
        <v>#VALUE!</v>
      </c>
      <c r="AG16" s="37" t="b">
        <v>0</v>
      </c>
      <c r="AH16" s="2" t="str">
        <f t="shared" si="6"/>
        <v>エラー</v>
      </c>
      <c r="AI16" s="2" t="str">
        <f t="shared" si="7"/>
        <v>エラー</v>
      </c>
      <c r="AK16" s="2" t="e">
        <f t="shared" si="8"/>
        <v>#DIV/0!</v>
      </c>
      <c r="AL16" s="2" t="e">
        <f t="shared" si="9"/>
        <v>#DIV/0!</v>
      </c>
      <c r="AN16" s="2">
        <f t="shared" si="10"/>
        <v>0</v>
      </c>
      <c r="AO16" s="19" t="str">
        <f t="shared" si="1"/>
        <v>FALSE</v>
      </c>
    </row>
    <row r="17" spans="2:41" s="2" customFormat="1" ht="21.95" customHeight="1">
      <c r="B17" s="230"/>
      <c r="C17" s="331"/>
      <c r="D17" s="332"/>
      <c r="E17" s="333"/>
      <c r="F17" s="333"/>
      <c r="G17" s="334"/>
      <c r="H17" s="236"/>
      <c r="I17" s="236"/>
      <c r="J17" s="236"/>
      <c r="K17" s="236"/>
      <c r="L17" s="281"/>
      <c r="M17" s="281"/>
      <c r="N17" s="323"/>
      <c r="O17" s="324"/>
      <c r="P17" s="325"/>
      <c r="Q17" s="326"/>
      <c r="R17" s="330"/>
      <c r="S17" s="335"/>
      <c r="T17" s="330"/>
      <c r="U17" s="329"/>
      <c r="V17" s="215" t="str">
        <f t="shared" si="2"/>
        <v/>
      </c>
      <c r="W17" s="216"/>
      <c r="X17" s="217" t="str">
        <f t="shared" si="0"/>
        <v/>
      </c>
      <c r="Y17" s="217"/>
      <c r="Z17" s="217" t="str">
        <f t="shared" si="3"/>
        <v/>
      </c>
      <c r="AA17" s="218"/>
      <c r="AD17" s="2" t="e">
        <f t="shared" si="4"/>
        <v>#VALUE!</v>
      </c>
      <c r="AE17" s="2" t="e">
        <f t="shared" si="5"/>
        <v>#VALUE!</v>
      </c>
      <c r="AG17" s="37" t="b">
        <v>0</v>
      </c>
      <c r="AH17" s="2" t="str">
        <f t="shared" si="6"/>
        <v>エラー</v>
      </c>
      <c r="AI17" s="2" t="str">
        <f t="shared" si="7"/>
        <v>エラー</v>
      </c>
      <c r="AK17" s="2" t="e">
        <f t="shared" si="8"/>
        <v>#DIV/0!</v>
      </c>
      <c r="AL17" s="2" t="e">
        <f t="shared" si="9"/>
        <v>#DIV/0!</v>
      </c>
      <c r="AN17" s="2">
        <f t="shared" si="10"/>
        <v>0</v>
      </c>
      <c r="AO17" s="19" t="str">
        <f t="shared" si="1"/>
        <v>FALSE</v>
      </c>
    </row>
    <row r="18" spans="2:41" s="2" customFormat="1" ht="21.95" customHeight="1">
      <c r="B18" s="230"/>
      <c r="C18" s="331"/>
      <c r="D18" s="332"/>
      <c r="E18" s="333"/>
      <c r="F18" s="333"/>
      <c r="G18" s="334"/>
      <c r="H18" s="236"/>
      <c r="I18" s="236"/>
      <c r="J18" s="236"/>
      <c r="K18" s="236"/>
      <c r="L18" s="281"/>
      <c r="M18" s="281"/>
      <c r="N18" s="323"/>
      <c r="O18" s="324"/>
      <c r="P18" s="325"/>
      <c r="Q18" s="326"/>
      <c r="R18" s="327"/>
      <c r="S18" s="328"/>
      <c r="T18" s="329"/>
      <c r="U18" s="325"/>
      <c r="V18" s="215" t="str">
        <f t="shared" si="2"/>
        <v/>
      </c>
      <c r="W18" s="216"/>
      <c r="X18" s="217" t="str">
        <f t="shared" si="0"/>
        <v/>
      </c>
      <c r="Y18" s="217"/>
      <c r="Z18" s="217" t="str">
        <f t="shared" si="3"/>
        <v/>
      </c>
      <c r="AA18" s="218"/>
      <c r="AD18" s="2" t="e">
        <f t="shared" si="4"/>
        <v>#VALUE!</v>
      </c>
      <c r="AE18" s="2" t="e">
        <f t="shared" si="5"/>
        <v>#VALUE!</v>
      </c>
      <c r="AG18" s="37" t="b">
        <v>0</v>
      </c>
      <c r="AH18" s="2" t="str">
        <f t="shared" si="6"/>
        <v>エラー</v>
      </c>
      <c r="AI18" s="2" t="str">
        <f t="shared" si="7"/>
        <v>エラー</v>
      </c>
      <c r="AK18" s="2" t="e">
        <f t="shared" si="8"/>
        <v>#DIV/0!</v>
      </c>
      <c r="AL18" s="2" t="e">
        <f t="shared" si="9"/>
        <v>#DIV/0!</v>
      </c>
      <c r="AN18" s="2">
        <f t="shared" si="10"/>
        <v>0</v>
      </c>
      <c r="AO18" s="19" t="str">
        <f t="shared" si="1"/>
        <v>FALSE</v>
      </c>
    </row>
    <row r="19" spans="2:41" s="2" customFormat="1" ht="21.95" customHeight="1" thickBot="1">
      <c r="B19" s="219"/>
      <c r="C19" s="316"/>
      <c r="D19" s="277"/>
      <c r="E19" s="278"/>
      <c r="F19" s="278"/>
      <c r="G19" s="279"/>
      <c r="H19" s="280"/>
      <c r="I19" s="280"/>
      <c r="J19" s="280"/>
      <c r="K19" s="280"/>
      <c r="L19" s="317"/>
      <c r="M19" s="317"/>
      <c r="N19" s="318"/>
      <c r="O19" s="319"/>
      <c r="P19" s="315"/>
      <c r="Q19" s="320"/>
      <c r="R19" s="321"/>
      <c r="S19" s="322"/>
      <c r="T19" s="314"/>
      <c r="U19" s="315"/>
      <c r="V19" s="215" t="str">
        <f t="shared" si="2"/>
        <v/>
      </c>
      <c r="W19" s="216"/>
      <c r="X19" s="217" t="str">
        <f t="shared" si="0"/>
        <v/>
      </c>
      <c r="Y19" s="217"/>
      <c r="Z19" s="226" t="str">
        <f t="shared" si="3"/>
        <v/>
      </c>
      <c r="AA19" s="229"/>
      <c r="AD19" s="2" t="e">
        <f t="shared" si="4"/>
        <v>#VALUE!</v>
      </c>
      <c r="AE19" s="2" t="e">
        <f t="shared" si="5"/>
        <v>#VALUE!</v>
      </c>
      <c r="AG19" s="37" t="b">
        <v>0</v>
      </c>
      <c r="AH19" s="2" t="str">
        <f t="shared" si="6"/>
        <v>エラー</v>
      </c>
      <c r="AI19" s="2" t="str">
        <f t="shared" si="7"/>
        <v>エラー</v>
      </c>
      <c r="AK19" s="2" t="e">
        <f t="shared" si="8"/>
        <v>#DIV/0!</v>
      </c>
      <c r="AL19" s="2" t="e">
        <f t="shared" si="9"/>
        <v>#DIV/0!</v>
      </c>
      <c r="AN19" s="2">
        <f t="shared" si="10"/>
        <v>0</v>
      </c>
      <c r="AO19" s="19" t="str">
        <f t="shared" si="1"/>
        <v>FALSE</v>
      </c>
    </row>
    <row r="20" spans="2:41" s="2" customFormat="1" ht="21.95" customHeight="1" thickBot="1">
      <c r="B20" s="200" t="s">
        <v>177</v>
      </c>
      <c r="C20" s="201"/>
      <c r="D20" s="201"/>
      <c r="E20" s="201"/>
      <c r="F20" s="201"/>
      <c r="G20" s="201"/>
      <c r="H20" s="201"/>
      <c r="I20" s="201"/>
      <c r="J20" s="201"/>
      <c r="K20" s="201"/>
      <c r="L20" s="201"/>
      <c r="M20" s="201"/>
      <c r="N20" s="201"/>
      <c r="O20" s="201"/>
      <c r="P20" s="201"/>
      <c r="Q20" s="201"/>
      <c r="R20" s="201"/>
      <c r="S20" s="201"/>
      <c r="T20" s="201"/>
      <c r="U20" s="201"/>
      <c r="V20" s="202">
        <f>SUM(V8:W19)</f>
        <v>0</v>
      </c>
      <c r="W20" s="202"/>
      <c r="X20" s="202">
        <f>IF(共通条件・結果!AA7="８地域","-",SUM(X8:Y19))</f>
        <v>0</v>
      </c>
      <c r="Y20" s="202"/>
      <c r="Z20" s="202">
        <f>SUM(Z8:AA19)</f>
        <v>0</v>
      </c>
      <c r="AA20" s="203"/>
    </row>
    <row r="21" spans="2:41" s="2" customFormat="1" ht="9.9499999999999993" customHeight="1">
      <c r="AN21" s="287"/>
      <c r="AO21" s="287"/>
    </row>
    <row r="22" spans="2:41" s="2" customFormat="1" ht="21.95" customHeight="1" thickBot="1">
      <c r="E22" s="4"/>
      <c r="J22" s="4" t="s">
        <v>13</v>
      </c>
    </row>
    <row r="23" spans="2:41" s="2" customFormat="1" ht="21.95" customHeight="1">
      <c r="J23" s="248" t="s">
        <v>14</v>
      </c>
      <c r="K23" s="195"/>
      <c r="L23" s="195"/>
      <c r="M23" s="249"/>
      <c r="N23" s="302" t="s">
        <v>140</v>
      </c>
      <c r="O23" s="195"/>
      <c r="P23" s="195"/>
      <c r="Q23" s="249"/>
      <c r="R23" s="266" t="s">
        <v>141</v>
      </c>
      <c r="S23" s="178"/>
      <c r="T23" s="306" t="s">
        <v>9</v>
      </c>
      <c r="U23" s="307"/>
      <c r="V23" s="254" t="s">
        <v>145</v>
      </c>
      <c r="W23" s="255"/>
      <c r="X23" s="254" t="s">
        <v>143</v>
      </c>
      <c r="Y23" s="255"/>
      <c r="Z23" s="254" t="s">
        <v>110</v>
      </c>
      <c r="AA23" s="196"/>
      <c r="AN23" s="287" t="s">
        <v>58</v>
      </c>
      <c r="AO23" s="287"/>
    </row>
    <row r="24" spans="2:41" s="2" customFormat="1" ht="21.95" customHeight="1">
      <c r="J24" s="250"/>
      <c r="K24" s="287"/>
      <c r="L24" s="287"/>
      <c r="M24" s="251"/>
      <c r="N24" s="303"/>
      <c r="O24" s="304"/>
      <c r="P24" s="304"/>
      <c r="Q24" s="305"/>
      <c r="R24" s="269"/>
      <c r="S24" s="267"/>
      <c r="T24" s="308"/>
      <c r="U24" s="309"/>
      <c r="V24" s="256"/>
      <c r="W24" s="257"/>
      <c r="X24" s="256"/>
      <c r="Y24" s="257"/>
      <c r="Z24" s="298"/>
      <c r="AA24" s="299"/>
      <c r="AN24" s="19"/>
      <c r="AO24" s="19"/>
    </row>
    <row r="25" spans="2:41" s="2" customFormat="1" ht="21.95" customHeight="1" thickBot="1">
      <c r="J25" s="252"/>
      <c r="K25" s="297"/>
      <c r="L25" s="297"/>
      <c r="M25" s="253"/>
      <c r="N25" s="311" t="s">
        <v>8</v>
      </c>
      <c r="O25" s="312"/>
      <c r="P25" s="313" t="s">
        <v>7</v>
      </c>
      <c r="Q25" s="268"/>
      <c r="R25" s="268"/>
      <c r="S25" s="268"/>
      <c r="T25" s="310"/>
      <c r="U25" s="310"/>
      <c r="V25" s="258"/>
      <c r="W25" s="259"/>
      <c r="X25" s="258"/>
      <c r="Y25" s="259"/>
      <c r="Z25" s="300"/>
      <c r="AA25" s="301"/>
      <c r="AN25" s="45" t="s">
        <v>56</v>
      </c>
      <c r="AO25" s="2" t="s">
        <v>54</v>
      </c>
    </row>
    <row r="26" spans="2:41" s="2" customFormat="1" ht="21.95" customHeight="1">
      <c r="D26" s="56"/>
      <c r="E26" s="56"/>
      <c r="J26" s="288"/>
      <c r="K26" s="289"/>
      <c r="L26" s="289"/>
      <c r="M26" s="290"/>
      <c r="N26" s="291"/>
      <c r="O26" s="292"/>
      <c r="P26" s="292"/>
      <c r="Q26" s="293"/>
      <c r="R26" s="245"/>
      <c r="S26" s="245"/>
      <c r="T26" s="294"/>
      <c r="U26" s="294"/>
      <c r="V26" s="246" t="str">
        <f>IF(N26="","",N26*P26*R26*0.034*$V$4)</f>
        <v/>
      </c>
      <c r="W26" s="246"/>
      <c r="X26" s="246" t="str">
        <f>IF(N26="","",IF(ISERROR(N26*P26*R26*0.034*$X$4),"-",N26*P26*R26*0.034*$X$4))</f>
        <v/>
      </c>
      <c r="Y26" s="246"/>
      <c r="Z26" s="246" t="str">
        <f>IF(N26="","",N26*P26*AN26)</f>
        <v/>
      </c>
      <c r="AA26" s="247"/>
      <c r="AD26" s="37"/>
      <c r="AN26" s="2">
        <f>IF(AO26="FALSE",R26,IF(T26="風除室",1/((1/R26)+0.1),0.5*R26+0.5*(1/((1/R26)+AO26))))</f>
        <v>0</v>
      </c>
      <c r="AO26" s="19" t="str">
        <f>IF(T26="","FALSE",IF(T26="雨戸",0.1,IF(T26="ｼｬｯﾀｰ",0.1,IF(T26="障子",0.18,IF(T26="風除室",0.1)))))</f>
        <v>FALSE</v>
      </c>
    </row>
    <row r="27" spans="2:41" s="2" customFormat="1" ht="21.95" customHeight="1">
      <c r="D27" s="56"/>
      <c r="E27" s="56"/>
      <c r="J27" s="282"/>
      <c r="K27" s="283"/>
      <c r="L27" s="283"/>
      <c r="M27" s="284"/>
      <c r="N27" s="232"/>
      <c r="O27" s="285"/>
      <c r="P27" s="286"/>
      <c r="Q27" s="233"/>
      <c r="R27" s="232"/>
      <c r="S27" s="233"/>
      <c r="T27" s="295"/>
      <c r="U27" s="296"/>
      <c r="V27" s="215" t="str">
        <f>IF(N27="","",N27*P27*R27*0.034*$V$4)</f>
        <v/>
      </c>
      <c r="W27" s="216"/>
      <c r="X27" s="215" t="str">
        <f>IF(N27="","",IF(ISERROR(N27*P27*R27*0.034*$X$4),"-",N27*P27*R27*0.034*$X$4))</f>
        <v/>
      </c>
      <c r="Y27" s="216"/>
      <c r="Z27" s="215" t="str">
        <f>IF(N27="","",N27*P27*AN27)</f>
        <v/>
      </c>
      <c r="AA27" s="238"/>
      <c r="AD27" s="37"/>
      <c r="AN27" s="2">
        <f>IF(AO27="FALSE",R27,IF(T27="風除室",1/((1/R27)+0.1),0.5*R27+0.5*(1/((1/R27)+AO27))))</f>
        <v>0</v>
      </c>
      <c r="AO27" s="19" t="str">
        <f>IF(T27="","FALSE",IF(T27="雨戸",0.1,IF(T27="ｼｬｯﾀｰ",0.1,IF(T27="障子",0.18,IF(T27="風除室",0.1)))))</f>
        <v>FALSE</v>
      </c>
    </row>
    <row r="28" spans="2:41" s="2" customFormat="1" ht="21.95" customHeight="1" thickBot="1">
      <c r="D28" s="56"/>
      <c r="E28" s="56"/>
      <c r="J28" s="274"/>
      <c r="K28" s="275"/>
      <c r="L28" s="275"/>
      <c r="M28" s="276"/>
      <c r="N28" s="277"/>
      <c r="O28" s="278"/>
      <c r="P28" s="278"/>
      <c r="Q28" s="279"/>
      <c r="R28" s="280"/>
      <c r="S28" s="280"/>
      <c r="T28" s="281"/>
      <c r="U28" s="281"/>
      <c r="V28" s="270" t="str">
        <f>IF(N28="","",N28*P28*R28*0.034*$V$4)</f>
        <v/>
      </c>
      <c r="W28" s="270"/>
      <c r="X28" s="270" t="str">
        <f>IF(N28="","",IF(ISERROR(N28*P28*R28*0.034*$X$4),"-",N28*P28*R28*0.034*$X$4))</f>
        <v/>
      </c>
      <c r="Y28" s="270"/>
      <c r="Z28" s="270" t="str">
        <f>IF(N28="","",N28*P28*AN28)</f>
        <v/>
      </c>
      <c r="AA28" s="271"/>
      <c r="AD28" s="37"/>
      <c r="AN28" s="2">
        <f>IF(AO28="FALSE",R28,IF(T28="風除室",1/((1/R28)+0.1),0.5*R28+0.5*(1/((1/R28)+AO28))))</f>
        <v>0</v>
      </c>
      <c r="AO28" s="19" t="str">
        <f>IF(T28="","FALSE",IF(T28="雨戸",0.1,IF(T28="ｼｬｯﾀｰ",0.1,IF(T28="障子",0.18,IF(T28="風除室",0.1)))))</f>
        <v>FALSE</v>
      </c>
    </row>
    <row r="29" spans="2:41" s="2" customFormat="1" ht="21.95" customHeight="1" thickBot="1">
      <c r="J29" s="200" t="s">
        <v>75</v>
      </c>
      <c r="K29" s="201"/>
      <c r="L29" s="201"/>
      <c r="M29" s="201"/>
      <c r="N29" s="201"/>
      <c r="O29" s="201"/>
      <c r="P29" s="201"/>
      <c r="Q29" s="201"/>
      <c r="R29" s="201"/>
      <c r="S29" s="201"/>
      <c r="T29" s="201"/>
      <c r="U29" s="348"/>
      <c r="V29" s="202">
        <f>SUM(V26:W28)</f>
        <v>0</v>
      </c>
      <c r="W29" s="202"/>
      <c r="X29" s="202">
        <f>SUM(X26:Y28)</f>
        <v>0</v>
      </c>
      <c r="Y29" s="202"/>
      <c r="Z29" s="202">
        <f>SUM(Z26:AA28)</f>
        <v>0</v>
      </c>
      <c r="AA29" s="203"/>
      <c r="AO29" s="19"/>
    </row>
    <row r="30" spans="2:41" s="2" customFormat="1" ht="9.9499999999999993" customHeight="1">
      <c r="J30" s="23"/>
      <c r="K30" s="23"/>
      <c r="L30" s="23"/>
      <c r="M30" s="23"/>
      <c r="N30" s="23"/>
      <c r="O30" s="23"/>
      <c r="P30" s="23"/>
      <c r="Q30" s="23"/>
      <c r="R30" s="23"/>
      <c r="S30" s="23"/>
      <c r="T30" s="23"/>
      <c r="U30" s="23"/>
      <c r="V30" s="46"/>
      <c r="W30" s="46"/>
      <c r="X30" s="46"/>
      <c r="Y30" s="46"/>
      <c r="Z30" s="46"/>
      <c r="AA30" s="46"/>
      <c r="AO30" s="19"/>
    </row>
    <row r="31" spans="2:41" s="2" customFormat="1" ht="21.95" customHeight="1" thickBot="1">
      <c r="J31" s="4" t="s">
        <v>15</v>
      </c>
      <c r="K31" s="4"/>
      <c r="L31" s="4"/>
      <c r="AO31" s="19"/>
    </row>
    <row r="32" spans="2:41" s="2" customFormat="1" ht="21.95" customHeight="1">
      <c r="J32" s="248" t="s">
        <v>0</v>
      </c>
      <c r="K32" s="249"/>
      <c r="L32" s="254" t="s">
        <v>146</v>
      </c>
      <c r="M32" s="255"/>
      <c r="N32" s="254" t="s">
        <v>147</v>
      </c>
      <c r="O32" s="255"/>
      <c r="P32" s="260" t="s">
        <v>148</v>
      </c>
      <c r="Q32" s="261"/>
      <c r="R32" s="266" t="s">
        <v>141</v>
      </c>
      <c r="S32" s="178"/>
      <c r="T32" s="266" t="s">
        <v>145</v>
      </c>
      <c r="U32" s="178"/>
      <c r="V32" s="266" t="s">
        <v>143</v>
      </c>
      <c r="W32" s="178"/>
      <c r="X32" s="266" t="s">
        <v>110</v>
      </c>
      <c r="Y32" s="179"/>
      <c r="AO32" s="19"/>
    </row>
    <row r="33" spans="2:41" s="2" customFormat="1" ht="21.95" customHeight="1">
      <c r="J33" s="250"/>
      <c r="K33" s="251"/>
      <c r="L33" s="256"/>
      <c r="M33" s="257"/>
      <c r="N33" s="256"/>
      <c r="O33" s="257"/>
      <c r="P33" s="262"/>
      <c r="Q33" s="263"/>
      <c r="R33" s="267"/>
      <c r="S33" s="267"/>
      <c r="T33" s="269"/>
      <c r="U33" s="267"/>
      <c r="V33" s="269"/>
      <c r="W33" s="267"/>
      <c r="X33" s="267"/>
      <c r="Y33" s="272"/>
      <c r="AO33" s="19"/>
    </row>
    <row r="34" spans="2:41" s="2" customFormat="1" ht="21.95" customHeight="1" thickBot="1">
      <c r="J34" s="252"/>
      <c r="K34" s="253"/>
      <c r="L34" s="258"/>
      <c r="M34" s="259"/>
      <c r="N34" s="258"/>
      <c r="O34" s="259"/>
      <c r="P34" s="264"/>
      <c r="Q34" s="265"/>
      <c r="R34" s="268"/>
      <c r="S34" s="268"/>
      <c r="T34" s="268"/>
      <c r="U34" s="268"/>
      <c r="V34" s="268"/>
      <c r="W34" s="268"/>
      <c r="X34" s="268"/>
      <c r="Y34" s="273"/>
    </row>
    <row r="35" spans="2:41" s="2" customFormat="1" ht="21.95" customHeight="1">
      <c r="J35" s="239"/>
      <c r="K35" s="240"/>
      <c r="L35" s="241"/>
      <c r="M35" s="242"/>
      <c r="N35" s="241"/>
      <c r="O35" s="242"/>
      <c r="P35" s="243" t="str">
        <f>IF(L35="","",L35-N35)</f>
        <v/>
      </c>
      <c r="Q35" s="244"/>
      <c r="R35" s="245"/>
      <c r="S35" s="245"/>
      <c r="T35" s="217" t="str">
        <f>IF(P35="","",P35*R35*0.034*$V$4)</f>
        <v/>
      </c>
      <c r="U35" s="217"/>
      <c r="V35" s="215" t="str">
        <f>IF(P35="","",IF(ISERROR(P35*R35*0.034*$X$4),"-",P35*R35*0.034*$X$4))</f>
        <v/>
      </c>
      <c r="W35" s="216"/>
      <c r="X35" s="246" t="str">
        <f>IF(R35="","",R35*P35)</f>
        <v/>
      </c>
      <c r="Y35" s="247"/>
      <c r="AD35" s="37"/>
      <c r="AE35" s="37"/>
      <c r="AF35" s="37"/>
    </row>
    <row r="36" spans="2:41" s="2" customFormat="1" ht="21.95" customHeight="1">
      <c r="J36" s="230"/>
      <c r="K36" s="231"/>
      <c r="L36" s="232"/>
      <c r="M36" s="233"/>
      <c r="N36" s="232"/>
      <c r="O36" s="233"/>
      <c r="P36" s="234" t="str">
        <f t="shared" ref="P36:P37" si="11">IF(L36="","",L36-N36)</f>
        <v/>
      </c>
      <c r="Q36" s="235"/>
      <c r="R36" s="232"/>
      <c r="S36" s="233"/>
      <c r="T36" s="215" t="str">
        <f t="shared" ref="T36:T39" si="12">IF(P36="","",P36*R36*0.034*$V$4)</f>
        <v/>
      </c>
      <c r="U36" s="216"/>
      <c r="V36" s="215" t="str">
        <f t="shared" ref="V36:V39" si="13">IF(P36="","",IF(ISERROR(P36*R36*0.034*$X$4),"-",P36*R36*0.034*$X$4))</f>
        <v/>
      </c>
      <c r="W36" s="216"/>
      <c r="X36" s="215" t="str">
        <f t="shared" ref="X36:X39" si="14">IF(R36="","",R36*P36)</f>
        <v/>
      </c>
      <c r="Y36" s="238"/>
      <c r="AD36" s="37"/>
      <c r="AE36" s="37"/>
      <c r="AF36" s="37"/>
    </row>
    <row r="37" spans="2:41" s="2" customFormat="1" ht="21.95" customHeight="1">
      <c r="J37" s="230"/>
      <c r="K37" s="231"/>
      <c r="L37" s="232"/>
      <c r="M37" s="233"/>
      <c r="N37" s="232"/>
      <c r="O37" s="233"/>
      <c r="P37" s="234" t="str">
        <f t="shared" si="11"/>
        <v/>
      </c>
      <c r="Q37" s="235"/>
      <c r="R37" s="232"/>
      <c r="S37" s="233"/>
      <c r="T37" s="215" t="str">
        <f t="shared" si="12"/>
        <v/>
      </c>
      <c r="U37" s="216"/>
      <c r="V37" s="215" t="str">
        <f t="shared" si="13"/>
        <v/>
      </c>
      <c r="W37" s="216"/>
      <c r="X37" s="215" t="str">
        <f t="shared" si="14"/>
        <v/>
      </c>
      <c r="Y37" s="238"/>
      <c r="AD37" s="37"/>
      <c r="AE37" s="37"/>
      <c r="AF37" s="37"/>
    </row>
    <row r="38" spans="2:41" s="2" customFormat="1" ht="21.95" customHeight="1">
      <c r="J38" s="230"/>
      <c r="K38" s="231"/>
      <c r="L38" s="232"/>
      <c r="M38" s="233"/>
      <c r="N38" s="232"/>
      <c r="O38" s="233"/>
      <c r="P38" s="234" t="str">
        <f>IF(L38="","",L38-N38)</f>
        <v/>
      </c>
      <c r="Q38" s="235"/>
      <c r="R38" s="236"/>
      <c r="S38" s="236"/>
      <c r="T38" s="217" t="str">
        <f t="shared" si="12"/>
        <v/>
      </c>
      <c r="U38" s="217"/>
      <c r="V38" s="215" t="str">
        <f t="shared" si="13"/>
        <v/>
      </c>
      <c r="W38" s="216"/>
      <c r="X38" s="217" t="str">
        <f t="shared" si="14"/>
        <v/>
      </c>
      <c r="Y38" s="218"/>
      <c r="AD38" s="37"/>
      <c r="AE38" s="37"/>
      <c r="AF38" s="37"/>
    </row>
    <row r="39" spans="2:41" s="2" customFormat="1" ht="21.95" customHeight="1" thickBot="1">
      <c r="J39" s="219"/>
      <c r="K39" s="220"/>
      <c r="L39" s="221"/>
      <c r="M39" s="222"/>
      <c r="N39" s="221"/>
      <c r="O39" s="222"/>
      <c r="P39" s="223" t="str">
        <f>IF(L39="","",L39-N39)</f>
        <v/>
      </c>
      <c r="Q39" s="224"/>
      <c r="R39" s="225"/>
      <c r="S39" s="225"/>
      <c r="T39" s="226" t="str">
        <f t="shared" si="12"/>
        <v/>
      </c>
      <c r="U39" s="226"/>
      <c r="V39" s="227" t="str">
        <f t="shared" si="13"/>
        <v/>
      </c>
      <c r="W39" s="228"/>
      <c r="X39" s="226" t="str">
        <f t="shared" si="14"/>
        <v/>
      </c>
      <c r="Y39" s="229"/>
      <c r="AD39" s="37"/>
      <c r="AE39" s="37"/>
      <c r="AF39" s="37"/>
    </row>
    <row r="40" spans="2:41" s="2" customFormat="1" ht="21.95" customHeight="1" thickBot="1">
      <c r="J40" s="200" t="s">
        <v>69</v>
      </c>
      <c r="K40" s="201"/>
      <c r="L40" s="201"/>
      <c r="M40" s="201"/>
      <c r="N40" s="201"/>
      <c r="O40" s="201"/>
      <c r="P40" s="201"/>
      <c r="Q40" s="201"/>
      <c r="R40" s="201"/>
      <c r="S40" s="201"/>
      <c r="T40" s="202">
        <f>SUM(T35:U39)</f>
        <v>0</v>
      </c>
      <c r="U40" s="202"/>
      <c r="V40" s="202">
        <f>IF(共通条件・結果!AA7="８地域","-",SUM(V35:W39))</f>
        <v>0</v>
      </c>
      <c r="W40" s="202"/>
      <c r="X40" s="202">
        <f>SUM(X35:Y39)</f>
        <v>0</v>
      </c>
      <c r="Y40" s="203"/>
    </row>
    <row r="41" spans="2:41" s="2" customFormat="1" ht="12">
      <c r="J41" s="47"/>
    </row>
    <row r="42" spans="2:41" s="2" customFormat="1" ht="21.95" customHeight="1" thickBot="1">
      <c r="B42" s="4" t="s">
        <v>178</v>
      </c>
    </row>
    <row r="43" spans="2:41" s="2" customFormat="1" ht="21.95" customHeight="1">
      <c r="B43" s="204" t="s">
        <v>179</v>
      </c>
      <c r="C43" s="205"/>
      <c r="D43" s="136" t="s">
        <v>37</v>
      </c>
      <c r="E43" s="137"/>
      <c r="F43" s="137"/>
      <c r="G43" s="137"/>
      <c r="H43" s="137"/>
      <c r="I43" s="137"/>
      <c r="J43" s="138"/>
      <c r="K43" s="9"/>
      <c r="L43" s="210">
        <f>Q43+U43+Y43</f>
        <v>0</v>
      </c>
      <c r="M43" s="210"/>
      <c r="N43" s="210"/>
      <c r="O43" s="9" t="s">
        <v>22</v>
      </c>
      <c r="P43" s="10" t="s">
        <v>21</v>
      </c>
      <c r="Q43" s="211">
        <f>D8*F8+D9*F9+D10*F10+D11*F11+D12*F12+D13*F13+D14*F14+D15*F15+D16*F16+D17*F17+D18*F18+D19*F19</f>
        <v>0</v>
      </c>
      <c r="R43" s="211"/>
      <c r="S43" s="48" t="s">
        <v>23</v>
      </c>
      <c r="T43" s="48" t="s">
        <v>20</v>
      </c>
      <c r="U43" s="212">
        <f>N26*P26+N27*P27+N28*P28</f>
        <v>0</v>
      </c>
      <c r="V43" s="212"/>
      <c r="W43" s="48" t="s">
        <v>23</v>
      </c>
      <c r="X43" s="48" t="s">
        <v>1</v>
      </c>
      <c r="Y43" s="214">
        <f>SUM(P35:Q39)</f>
        <v>0</v>
      </c>
      <c r="Z43" s="214"/>
      <c r="AA43" s="49" t="s">
        <v>17</v>
      </c>
    </row>
    <row r="44" spans="2:41" s="2" customFormat="1" ht="21.95" customHeight="1">
      <c r="B44" s="206"/>
      <c r="C44" s="207"/>
      <c r="D44" s="141" t="s">
        <v>47</v>
      </c>
      <c r="E44" s="142"/>
      <c r="F44" s="142"/>
      <c r="G44" s="142"/>
      <c r="H44" s="142"/>
      <c r="I44" s="142"/>
      <c r="J44" s="143"/>
      <c r="K44" s="8"/>
      <c r="L44" s="8"/>
      <c r="M44" s="8"/>
      <c r="N44" s="8"/>
      <c r="O44" s="8"/>
      <c r="P44" s="8"/>
      <c r="Q44" s="8"/>
      <c r="R44" s="8"/>
      <c r="S44" s="8"/>
      <c r="T44" s="8"/>
      <c r="U44" s="8"/>
      <c r="V44" s="8"/>
      <c r="W44" s="197">
        <f>V20+V29+T40</f>
        <v>0</v>
      </c>
      <c r="X44" s="197"/>
      <c r="Y44" s="197"/>
      <c r="Z44" s="198" t="s">
        <v>113</v>
      </c>
      <c r="AA44" s="199"/>
    </row>
    <row r="45" spans="2:41" s="2" customFormat="1" ht="21.95" customHeight="1">
      <c r="B45" s="206"/>
      <c r="C45" s="207"/>
      <c r="D45" s="141" t="s">
        <v>48</v>
      </c>
      <c r="E45" s="142"/>
      <c r="F45" s="142"/>
      <c r="G45" s="142"/>
      <c r="H45" s="142"/>
      <c r="I45" s="142"/>
      <c r="J45" s="143"/>
      <c r="K45" s="8"/>
      <c r="L45" s="8"/>
      <c r="M45" s="8"/>
      <c r="N45" s="8"/>
      <c r="O45" s="8"/>
      <c r="P45" s="8"/>
      <c r="Q45" s="8"/>
      <c r="R45" s="8"/>
      <c r="S45" s="8"/>
      <c r="T45" s="8"/>
      <c r="U45" s="8"/>
      <c r="V45" s="8"/>
      <c r="W45" s="197">
        <f>IF(共通条件・結果!AA7="８地域","-",$X$20+$X$29+$V$40)</f>
        <v>0</v>
      </c>
      <c r="X45" s="197"/>
      <c r="Y45" s="197"/>
      <c r="Z45" s="198" t="s">
        <v>113</v>
      </c>
      <c r="AA45" s="199"/>
    </row>
    <row r="46" spans="2:41" s="2" customFormat="1" ht="21.95" customHeight="1" thickBot="1">
      <c r="B46" s="208"/>
      <c r="C46" s="209"/>
      <c r="D46" s="180" t="s">
        <v>18</v>
      </c>
      <c r="E46" s="181"/>
      <c r="F46" s="181"/>
      <c r="G46" s="181"/>
      <c r="H46" s="181"/>
      <c r="I46" s="181"/>
      <c r="J46" s="182"/>
      <c r="K46" s="7"/>
      <c r="L46" s="7"/>
      <c r="M46" s="7"/>
      <c r="N46" s="7"/>
      <c r="O46" s="7"/>
      <c r="P46" s="7"/>
      <c r="Q46" s="7"/>
      <c r="R46" s="7"/>
      <c r="S46" s="7"/>
      <c r="T46" s="7"/>
      <c r="U46" s="7"/>
      <c r="V46" s="7"/>
      <c r="W46" s="237">
        <f>Z20+Z29+X40</f>
        <v>0</v>
      </c>
      <c r="X46" s="237"/>
      <c r="Y46" s="237"/>
      <c r="Z46" s="44" t="s">
        <v>19</v>
      </c>
      <c r="AA46" s="50"/>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01AFahY2r2mqYHJpFSpSu3Y8X5DCjmFuY3Fzsj+yLI1oZFRB5Ykg0r2lPvyBsBhkLAxrQAEhIHMKSEbQrZtSYw==" saltValue="WbJ9QtRX4LppagXB0kfrBQ==" spinCount="100000" sheet="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B8:U19">
    <cfRule type="expression" dxfId="113" priority="155" stopIfTrue="1">
      <formula>$AE$2&lt;&gt;2</formula>
    </cfRule>
  </conditionalFormatting>
  <conditionalFormatting sqref="J35:O39">
    <cfRule type="expression" dxfId="112" priority="81" stopIfTrue="1">
      <formula>$AE$2&lt;&gt;2</formula>
    </cfRule>
  </conditionalFormatting>
  <conditionalFormatting sqref="J26:U28">
    <cfRule type="expression" dxfId="111" priority="119" stopIfTrue="1">
      <formula>$AE$2&lt;&gt;2</formula>
    </cfRule>
  </conditionalFormatting>
  <conditionalFormatting sqref="L43:N43">
    <cfRule type="expression" dxfId="110" priority="7">
      <formula>$AE$2&lt;&gt;2</formula>
    </cfRule>
  </conditionalFormatting>
  <conditionalFormatting sqref="P35:Q39">
    <cfRule type="expression" dxfId="109" priority="14">
      <formula>$AE$2&lt;&gt;2</formula>
    </cfRule>
  </conditionalFormatting>
  <conditionalFormatting sqref="Q43:R43">
    <cfRule type="expression" dxfId="108" priority="6">
      <formula>$AE$2&lt;&gt;2</formula>
    </cfRule>
  </conditionalFormatting>
  <conditionalFormatting sqref="R35:S39">
    <cfRule type="expression" dxfId="107" priority="79" stopIfTrue="1">
      <formula>$AE$2&lt;&gt;2</formula>
    </cfRule>
  </conditionalFormatting>
  <conditionalFormatting sqref="T35:Y40">
    <cfRule type="expression" dxfId="106" priority="8">
      <formula>$AE$2&lt;&gt;2</formula>
    </cfRule>
  </conditionalFormatting>
  <conditionalFormatting sqref="U43:V43">
    <cfRule type="expression" dxfId="105" priority="5">
      <formula>$AE$2&lt;&gt;2</formula>
    </cfRule>
  </conditionalFormatting>
  <conditionalFormatting sqref="V8:AA19">
    <cfRule type="expression" dxfId="104" priority="43">
      <formula>$AE$2&lt;&gt;2</formula>
    </cfRule>
  </conditionalFormatting>
  <conditionalFormatting sqref="V26:AA29">
    <cfRule type="expression" dxfId="103" priority="31">
      <formula>$AE$2&lt;&gt;2</formula>
    </cfRule>
  </conditionalFormatting>
  <conditionalFormatting sqref="W44:Y46">
    <cfRule type="expression" dxfId="102" priority="1">
      <formula>$AE$2&lt;&gt;2</formula>
    </cfRule>
  </conditionalFormatting>
  <conditionalFormatting sqref="Y43:Z43">
    <cfRule type="expression" dxfId="101" priority="4">
      <formula>$AE$2&lt;&gt;2</formula>
    </cfRule>
  </conditionalFormatting>
  <dataValidations count="1">
    <dataValidation type="list" allowBlank="1" showInputMessage="1" showErrorMessage="1" sqref="M14:M19 L8:L19 M8:M11 T26:T28 U26 U28" xr:uid="{00000000-0002-0000-02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7761" r:id="rId4" name="Check Box 1">
              <controlPr defaultSize="0" autoFill="0" autoLine="0" autoPict="0">
                <anchor moveWithCells="1">
                  <from>
                    <xdr:col>13</xdr:col>
                    <xdr:colOff>190500</xdr:colOff>
                    <xdr:row>7</xdr:row>
                    <xdr:rowOff>47625</xdr:rowOff>
                  </from>
                  <to>
                    <xdr:col>14</xdr:col>
                    <xdr:colOff>200025</xdr:colOff>
                    <xdr:row>7</xdr:row>
                    <xdr:rowOff>257175</xdr:rowOff>
                  </to>
                </anchor>
              </controlPr>
            </control>
          </mc:Choice>
        </mc:AlternateContent>
        <mc:AlternateContent xmlns:mc="http://schemas.openxmlformats.org/markup-compatibility/2006">
          <mc:Choice Requires="x14">
            <control shapeId="117762" r:id="rId5" name="Check Box 2">
              <controlPr defaultSize="0" autoFill="0" autoLine="0" autoPict="0">
                <anchor moveWithCells="1">
                  <from>
                    <xdr:col>13</xdr:col>
                    <xdr:colOff>190500</xdr:colOff>
                    <xdr:row>8</xdr:row>
                    <xdr:rowOff>47625</xdr:rowOff>
                  </from>
                  <to>
                    <xdr:col>14</xdr:col>
                    <xdr:colOff>200025</xdr:colOff>
                    <xdr:row>8</xdr:row>
                    <xdr:rowOff>257175</xdr:rowOff>
                  </to>
                </anchor>
              </controlPr>
            </control>
          </mc:Choice>
        </mc:AlternateContent>
        <mc:AlternateContent xmlns:mc="http://schemas.openxmlformats.org/markup-compatibility/2006">
          <mc:Choice Requires="x14">
            <control shapeId="117763" r:id="rId6" name="Check Box 3">
              <controlPr defaultSize="0" autoFill="0" autoLine="0" autoPict="0">
                <anchor moveWithCells="1">
                  <from>
                    <xdr:col>13</xdr:col>
                    <xdr:colOff>190500</xdr:colOff>
                    <xdr:row>14</xdr:row>
                    <xdr:rowOff>47625</xdr:rowOff>
                  </from>
                  <to>
                    <xdr:col>14</xdr:col>
                    <xdr:colOff>200025</xdr:colOff>
                    <xdr:row>14</xdr:row>
                    <xdr:rowOff>257175</xdr:rowOff>
                  </to>
                </anchor>
              </controlPr>
            </control>
          </mc:Choice>
        </mc:AlternateContent>
        <mc:AlternateContent xmlns:mc="http://schemas.openxmlformats.org/markup-compatibility/2006">
          <mc:Choice Requires="x14">
            <control shapeId="117764" r:id="rId7" name="Check Box 4">
              <controlPr defaultSize="0" autoFill="0" autoLine="0" autoPict="0">
                <anchor moveWithCells="1">
                  <from>
                    <xdr:col>13</xdr:col>
                    <xdr:colOff>190500</xdr:colOff>
                    <xdr:row>15</xdr:row>
                    <xdr:rowOff>47625</xdr:rowOff>
                  </from>
                  <to>
                    <xdr:col>14</xdr:col>
                    <xdr:colOff>200025</xdr:colOff>
                    <xdr:row>15</xdr:row>
                    <xdr:rowOff>257175</xdr:rowOff>
                  </to>
                </anchor>
              </controlPr>
            </control>
          </mc:Choice>
        </mc:AlternateContent>
        <mc:AlternateContent xmlns:mc="http://schemas.openxmlformats.org/markup-compatibility/2006">
          <mc:Choice Requires="x14">
            <control shapeId="117765" r:id="rId8" name="Check Box 5">
              <controlPr defaultSize="0" autoFill="0" autoLine="0" autoPict="0">
                <anchor moveWithCells="1">
                  <from>
                    <xdr:col>13</xdr:col>
                    <xdr:colOff>190500</xdr:colOff>
                    <xdr:row>16</xdr:row>
                    <xdr:rowOff>47625</xdr:rowOff>
                  </from>
                  <to>
                    <xdr:col>14</xdr:col>
                    <xdr:colOff>200025</xdr:colOff>
                    <xdr:row>16</xdr:row>
                    <xdr:rowOff>257175</xdr:rowOff>
                  </to>
                </anchor>
              </controlPr>
            </control>
          </mc:Choice>
        </mc:AlternateContent>
        <mc:AlternateContent xmlns:mc="http://schemas.openxmlformats.org/markup-compatibility/2006">
          <mc:Choice Requires="x14">
            <control shapeId="117766" r:id="rId9" name="Check Box 6">
              <controlPr defaultSize="0" autoFill="0" autoLine="0" autoPict="0">
                <anchor moveWithCells="1">
                  <from>
                    <xdr:col>13</xdr:col>
                    <xdr:colOff>190500</xdr:colOff>
                    <xdr:row>17</xdr:row>
                    <xdr:rowOff>47625</xdr:rowOff>
                  </from>
                  <to>
                    <xdr:col>14</xdr:col>
                    <xdr:colOff>200025</xdr:colOff>
                    <xdr:row>17</xdr:row>
                    <xdr:rowOff>257175</xdr:rowOff>
                  </to>
                </anchor>
              </controlPr>
            </control>
          </mc:Choice>
        </mc:AlternateContent>
        <mc:AlternateContent xmlns:mc="http://schemas.openxmlformats.org/markup-compatibility/2006">
          <mc:Choice Requires="x14">
            <control shapeId="117767" r:id="rId10" name="Check Box 7">
              <controlPr defaultSize="0" autoFill="0" autoLine="0" autoPict="0">
                <anchor moveWithCells="1">
                  <from>
                    <xdr:col>13</xdr:col>
                    <xdr:colOff>190500</xdr:colOff>
                    <xdr:row>18</xdr:row>
                    <xdr:rowOff>47625</xdr:rowOff>
                  </from>
                  <to>
                    <xdr:col>14</xdr:col>
                    <xdr:colOff>200025</xdr:colOff>
                    <xdr:row>18</xdr:row>
                    <xdr:rowOff>257175</xdr:rowOff>
                  </to>
                </anchor>
              </controlPr>
            </control>
          </mc:Choice>
        </mc:AlternateContent>
        <mc:AlternateContent xmlns:mc="http://schemas.openxmlformats.org/markup-compatibility/2006">
          <mc:Choice Requires="x14">
            <control shapeId="117768" r:id="rId11" name="Check Box 8">
              <controlPr defaultSize="0" autoFill="0" autoLine="0" autoPict="0">
                <anchor moveWithCells="1">
                  <from>
                    <xdr:col>13</xdr:col>
                    <xdr:colOff>190500</xdr:colOff>
                    <xdr:row>9</xdr:row>
                    <xdr:rowOff>47625</xdr:rowOff>
                  </from>
                  <to>
                    <xdr:col>14</xdr:col>
                    <xdr:colOff>200025</xdr:colOff>
                    <xdr:row>9</xdr:row>
                    <xdr:rowOff>257175</xdr:rowOff>
                  </to>
                </anchor>
              </controlPr>
            </control>
          </mc:Choice>
        </mc:AlternateContent>
        <mc:AlternateContent xmlns:mc="http://schemas.openxmlformats.org/markup-compatibility/2006">
          <mc:Choice Requires="x14">
            <control shapeId="117769" r:id="rId12" name="Check Box 9">
              <controlPr defaultSize="0" autoFill="0" autoLine="0" autoPict="0">
                <anchor moveWithCells="1">
                  <from>
                    <xdr:col>13</xdr:col>
                    <xdr:colOff>190500</xdr:colOff>
                    <xdr:row>10</xdr:row>
                    <xdr:rowOff>47625</xdr:rowOff>
                  </from>
                  <to>
                    <xdr:col>14</xdr:col>
                    <xdr:colOff>200025</xdr:colOff>
                    <xdr:row>10</xdr:row>
                    <xdr:rowOff>257175</xdr:rowOff>
                  </to>
                </anchor>
              </controlPr>
            </control>
          </mc:Choice>
        </mc:AlternateContent>
        <mc:AlternateContent xmlns:mc="http://schemas.openxmlformats.org/markup-compatibility/2006">
          <mc:Choice Requires="x14">
            <control shapeId="117770" r:id="rId13" name="Check Box 10">
              <controlPr defaultSize="0" autoFill="0" autoLine="0" autoPict="0">
                <anchor moveWithCells="1">
                  <from>
                    <xdr:col>13</xdr:col>
                    <xdr:colOff>190500</xdr:colOff>
                    <xdr:row>13</xdr:row>
                    <xdr:rowOff>47625</xdr:rowOff>
                  </from>
                  <to>
                    <xdr:col>14</xdr:col>
                    <xdr:colOff>200025</xdr:colOff>
                    <xdr:row>13</xdr:row>
                    <xdr:rowOff>257175</xdr:rowOff>
                  </to>
                </anchor>
              </controlPr>
            </control>
          </mc:Choice>
        </mc:AlternateContent>
        <mc:AlternateContent xmlns:mc="http://schemas.openxmlformats.org/markup-compatibility/2006">
          <mc:Choice Requires="x14">
            <control shapeId="117771" r:id="rId14" name="Check Box 11">
              <controlPr defaultSize="0" autoFill="0" autoLine="0" autoPict="0">
                <anchor moveWithCells="1">
                  <from>
                    <xdr:col>13</xdr:col>
                    <xdr:colOff>190500</xdr:colOff>
                    <xdr:row>11</xdr:row>
                    <xdr:rowOff>47625</xdr:rowOff>
                  </from>
                  <to>
                    <xdr:col>14</xdr:col>
                    <xdr:colOff>200025</xdr:colOff>
                    <xdr:row>11</xdr:row>
                    <xdr:rowOff>257175</xdr:rowOff>
                  </to>
                </anchor>
              </controlPr>
            </control>
          </mc:Choice>
        </mc:AlternateContent>
        <mc:AlternateContent xmlns:mc="http://schemas.openxmlformats.org/markup-compatibility/2006">
          <mc:Choice Requires="x14">
            <control shapeId="117772" r:id="rId15" name="Check Box 12">
              <controlPr defaultSize="0" autoFill="0" autoLine="0" autoPict="0">
                <anchor moveWithCells="1">
                  <from>
                    <xdr:col>13</xdr:col>
                    <xdr:colOff>190500</xdr:colOff>
                    <xdr:row>12</xdr:row>
                    <xdr:rowOff>47625</xdr:rowOff>
                  </from>
                  <to>
                    <xdr:col>14</xdr:col>
                    <xdr:colOff>200025</xdr:colOff>
                    <xdr:row>12</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AS108"/>
  <sheetViews>
    <sheetView view="pageBreakPreview" zoomScale="85" zoomScaleNormal="100" zoomScaleSheetLayoutView="85" workbookViewId="0">
      <selection activeCell="B15" sqref="B15:C15"/>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361" t="s">
        <v>68</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E2" s="101">
        <f>共通条件・結果!AE2</f>
        <v>1</v>
      </c>
    </row>
    <row r="3" spans="2:41" s="2" customFormat="1" ht="24.95" customHeight="1" thickBot="1">
      <c r="AE3" s="2" t="s">
        <v>271</v>
      </c>
    </row>
    <row r="4" spans="2:41" s="2" customFormat="1" ht="21.95" customHeight="1" thickBot="1">
      <c r="B4" s="4" t="s">
        <v>5</v>
      </c>
      <c r="R4" s="362" t="s">
        <v>33</v>
      </c>
      <c r="S4" s="363"/>
      <c r="T4" s="363"/>
      <c r="U4" s="364"/>
      <c r="V4" s="365" t="b">
        <f>IF(共通条件・結果!AA7="８地域","0.515",IF(共通条件・結果!AA7="７地域",0.509,IF(共通条件・結果!AA7="６地域",0.512,IF(共通条件・結果!AA7="５地域",0.5,IF(共通条件・結果!AA7="４地域",0.518,IF(共通条件・結果!AA7="３地域",0.468,IF(共通条件・結果!AA7="２地域",0.503,IF(共通条件・結果!AA7="１地域",0.545))))))))</f>
        <v>0</v>
      </c>
      <c r="W4" s="366"/>
      <c r="X4" s="365" t="b">
        <f>IF(共通条件・結果!AA7="８地域","-",IF(共通条件・結果!AA7="７地域",0.543,IF(共通条件・結果!AA7="６地域",0.579,IF(共通条件・結果!AA7="５地域",0.568,IF(共通条件・結果!AA7="４地域",0.531,IF(共通条件・結果!AA7="３地域",0.54,IF(共通条件・結果!AA7="２地域",0.554,IF(共通条件・結果!AA7="１地域",0.564))))))))</f>
        <v>0</v>
      </c>
      <c r="Y4" s="366"/>
    </row>
    <row r="5" spans="2:41" s="2" customFormat="1" ht="21.95" customHeight="1">
      <c r="B5" s="367" t="s">
        <v>6</v>
      </c>
      <c r="C5" s="178"/>
      <c r="D5" s="178" t="s">
        <v>140</v>
      </c>
      <c r="E5" s="178"/>
      <c r="F5" s="178"/>
      <c r="G5" s="178"/>
      <c r="H5" s="266" t="s">
        <v>141</v>
      </c>
      <c r="I5" s="178"/>
      <c r="J5" s="266" t="s">
        <v>65</v>
      </c>
      <c r="K5" s="178"/>
      <c r="L5" s="266" t="s">
        <v>9</v>
      </c>
      <c r="M5" s="178"/>
      <c r="N5" s="370" t="s">
        <v>46</v>
      </c>
      <c r="O5" s="214"/>
      <c r="P5" s="214"/>
      <c r="Q5" s="214"/>
      <c r="R5" s="214"/>
      <c r="S5" s="214"/>
      <c r="T5" s="214"/>
      <c r="U5" s="214"/>
      <c r="V5" s="266" t="s">
        <v>142</v>
      </c>
      <c r="W5" s="178"/>
      <c r="X5" s="266" t="s">
        <v>143</v>
      </c>
      <c r="Y5" s="178"/>
      <c r="Z5" s="266" t="s">
        <v>110</v>
      </c>
      <c r="AA5" s="179"/>
    </row>
    <row r="6" spans="2:41" s="2" customFormat="1" ht="21.95" customHeight="1">
      <c r="B6" s="368"/>
      <c r="C6" s="267"/>
      <c r="D6" s="349" t="s">
        <v>8</v>
      </c>
      <c r="E6" s="350"/>
      <c r="F6" s="353" t="s">
        <v>7</v>
      </c>
      <c r="G6" s="354"/>
      <c r="H6" s="267"/>
      <c r="I6" s="267"/>
      <c r="J6" s="269"/>
      <c r="K6" s="267"/>
      <c r="L6" s="269"/>
      <c r="M6" s="267"/>
      <c r="N6" s="355" t="s">
        <v>45</v>
      </c>
      <c r="O6" s="356"/>
      <c r="P6" s="358" t="s">
        <v>144</v>
      </c>
      <c r="Q6" s="359"/>
      <c r="R6" s="359"/>
      <c r="S6" s="359"/>
      <c r="T6" s="359"/>
      <c r="U6" s="360"/>
      <c r="V6" s="269"/>
      <c r="W6" s="267"/>
      <c r="X6" s="269"/>
      <c r="Y6" s="267"/>
      <c r="Z6" s="267"/>
      <c r="AA6" s="272"/>
      <c r="AD6" s="287" t="s">
        <v>49</v>
      </c>
      <c r="AE6" s="287"/>
      <c r="AF6" s="19"/>
      <c r="AG6" s="19"/>
      <c r="AH6" s="287" t="s">
        <v>12</v>
      </c>
      <c r="AI6" s="287"/>
      <c r="AJ6" s="19"/>
      <c r="AK6" s="287" t="s">
        <v>50</v>
      </c>
      <c r="AL6" s="287"/>
      <c r="AN6" s="287" t="s">
        <v>58</v>
      </c>
      <c r="AO6" s="287"/>
    </row>
    <row r="7" spans="2:41" s="2" customFormat="1" ht="21.95" customHeight="1" thickBot="1">
      <c r="B7" s="369"/>
      <c r="C7" s="268"/>
      <c r="D7" s="351"/>
      <c r="E7" s="352"/>
      <c r="F7" s="297"/>
      <c r="G7" s="253"/>
      <c r="H7" s="268"/>
      <c r="I7" s="268"/>
      <c r="J7" s="268"/>
      <c r="K7" s="268"/>
      <c r="L7" s="268"/>
      <c r="M7" s="268"/>
      <c r="N7" s="258"/>
      <c r="O7" s="357"/>
      <c r="P7" s="253" t="s">
        <v>10</v>
      </c>
      <c r="Q7" s="300"/>
      <c r="R7" s="346" t="s">
        <v>11</v>
      </c>
      <c r="S7" s="347"/>
      <c r="T7" s="253" t="s">
        <v>3</v>
      </c>
      <c r="U7" s="300"/>
      <c r="V7" s="268"/>
      <c r="W7" s="268"/>
      <c r="X7" s="268"/>
      <c r="Y7" s="268"/>
      <c r="Z7" s="268"/>
      <c r="AA7" s="273"/>
      <c r="AD7" s="19" t="s">
        <v>4</v>
      </c>
      <c r="AE7" s="19" t="s">
        <v>16</v>
      </c>
      <c r="AF7" s="19"/>
      <c r="AG7" s="19"/>
      <c r="AH7" s="19" t="s">
        <v>4</v>
      </c>
      <c r="AI7" s="19" t="s">
        <v>16</v>
      </c>
      <c r="AJ7" s="19"/>
      <c r="AK7" s="19" t="s">
        <v>4</v>
      </c>
      <c r="AL7" s="19" t="s">
        <v>16</v>
      </c>
      <c r="AN7" s="45" t="s">
        <v>56</v>
      </c>
      <c r="AO7" s="2" t="s">
        <v>54</v>
      </c>
    </row>
    <row r="8" spans="2:41" s="2" customFormat="1" ht="21.95" customHeight="1">
      <c r="B8" s="239"/>
      <c r="C8" s="345"/>
      <c r="D8" s="291"/>
      <c r="E8" s="292"/>
      <c r="F8" s="292"/>
      <c r="G8" s="293"/>
      <c r="H8" s="245"/>
      <c r="I8" s="245"/>
      <c r="J8" s="245"/>
      <c r="K8" s="245"/>
      <c r="L8" s="317"/>
      <c r="M8" s="317"/>
      <c r="N8" s="337"/>
      <c r="O8" s="338"/>
      <c r="P8" s="339"/>
      <c r="Q8" s="340"/>
      <c r="R8" s="341"/>
      <c r="S8" s="342"/>
      <c r="T8" s="343"/>
      <c r="U8" s="339"/>
      <c r="V8" s="344" t="str">
        <f>IF(D8="","",AD8)</f>
        <v/>
      </c>
      <c r="W8" s="344"/>
      <c r="X8" s="344" t="str">
        <f t="shared" ref="X8:X19" si="0">IF(D8="","",IF(ISERROR(AE8),"-",AE8))</f>
        <v/>
      </c>
      <c r="Y8" s="344"/>
      <c r="Z8" s="344" t="str">
        <f>IF(D8="","",D8*F8*AN8)</f>
        <v/>
      </c>
      <c r="AA8" s="371"/>
      <c r="AD8" s="2" t="e">
        <f>D8*F8*J8*$V$4*AH8</f>
        <v>#VALUE!</v>
      </c>
      <c r="AE8" s="2" t="e">
        <f>D8*F8*J8*$X$4*AI8</f>
        <v>#VALUE!</v>
      </c>
      <c r="AG8" s="37" t="b">
        <v>0</v>
      </c>
      <c r="AH8" s="2" t="str">
        <f>IF(AG8=TRUE,"0.93",IF(ISERROR(AK8),"エラー",IF(AK8&gt;0.93,"0.93",AK8)))</f>
        <v>エラー</v>
      </c>
      <c r="AI8" s="2" t="str">
        <f>IF(AG8=TRUE,"0.51",IF(ISERROR(AL8),"エラー",IF(AL8&gt;0.72,"0.72",AL8)))</f>
        <v>エラー</v>
      </c>
      <c r="AK8" s="2" t="e">
        <f>0.01*(16+24*(2*R8+T8)/P8)</f>
        <v>#DIV/0!</v>
      </c>
      <c r="AL8" s="2" t="e">
        <f>0.01*(10+15*(2*R8+T8)/P8)</f>
        <v>#DIV/0!</v>
      </c>
      <c r="AN8" s="2">
        <f>IF(AO8="FALSE",H8,IF(L8="風除室",1/((1/H8)+0.1),0.5*H8+0.5*(1/((1/H8)+AO8))))</f>
        <v>0</v>
      </c>
      <c r="AO8" s="19" t="str">
        <f t="shared" ref="AO8:AO19" si="1">IF(L8="","FALSE",IF(L8="雨戸",0.1,IF(L8="ｼｬｯﾀｰ",0.1,IF(L8="障子",0.18,IF(L8="風除室",0.1)))))</f>
        <v>FALSE</v>
      </c>
    </row>
    <row r="9" spans="2:41" s="2" customFormat="1" ht="21.95" customHeight="1">
      <c r="B9" s="230"/>
      <c r="C9" s="331"/>
      <c r="D9" s="332"/>
      <c r="E9" s="333"/>
      <c r="F9" s="333"/>
      <c r="G9" s="334"/>
      <c r="H9" s="236"/>
      <c r="I9" s="236"/>
      <c r="J9" s="236"/>
      <c r="K9" s="236"/>
      <c r="L9" s="281"/>
      <c r="M9" s="281"/>
      <c r="N9" s="323"/>
      <c r="O9" s="324"/>
      <c r="P9" s="325"/>
      <c r="Q9" s="326"/>
      <c r="R9" s="327"/>
      <c r="S9" s="328"/>
      <c r="T9" s="329"/>
      <c r="U9" s="325"/>
      <c r="V9" s="217" t="str">
        <f t="shared" ref="V9:V19" si="2">IF(D9="","",AD9)</f>
        <v/>
      </c>
      <c r="W9" s="217"/>
      <c r="X9" s="217" t="str">
        <f t="shared" si="0"/>
        <v/>
      </c>
      <c r="Y9" s="217"/>
      <c r="Z9" s="217" t="str">
        <f t="shared" ref="Z9:Z19" si="3">IF(D9="","",D9*F9*AN9)</f>
        <v/>
      </c>
      <c r="AA9" s="218"/>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 t="shared" ref="AK9:AK19" si="8">0.01*(16+24*(2*R9+T9)/P9)</f>
        <v>#DIV/0!</v>
      </c>
      <c r="AL9" s="2" t="e">
        <f t="shared" ref="AL9:AL19" si="9">0.01*(10+15*(2*R9+T9)/P9)</f>
        <v>#DIV/0!</v>
      </c>
      <c r="AN9" s="2">
        <f t="shared" ref="AN9:AN19" si="10">IF(AO9="FALSE",H9,IF(L9="風除室",1/((1/H9)+0.1),0.5*H9+0.5*(1/((1/H9)+AO9))))</f>
        <v>0</v>
      </c>
      <c r="AO9" s="19" t="str">
        <f t="shared" si="1"/>
        <v>FALSE</v>
      </c>
    </row>
    <row r="10" spans="2:41" s="2" customFormat="1" ht="21.95" customHeight="1">
      <c r="B10" s="230"/>
      <c r="C10" s="331"/>
      <c r="D10" s="332"/>
      <c r="E10" s="333"/>
      <c r="F10" s="333"/>
      <c r="G10" s="334"/>
      <c r="H10" s="236"/>
      <c r="I10" s="236"/>
      <c r="J10" s="236"/>
      <c r="K10" s="236"/>
      <c r="L10" s="281"/>
      <c r="M10" s="281"/>
      <c r="N10" s="323"/>
      <c r="O10" s="324"/>
      <c r="P10" s="326"/>
      <c r="Q10" s="335"/>
      <c r="R10" s="330"/>
      <c r="S10" s="335"/>
      <c r="T10" s="330"/>
      <c r="U10" s="329"/>
      <c r="V10" s="217" t="str">
        <f t="shared" si="2"/>
        <v/>
      </c>
      <c r="W10" s="217"/>
      <c r="X10" s="217" t="str">
        <f t="shared" si="0"/>
        <v/>
      </c>
      <c r="Y10" s="217"/>
      <c r="Z10" s="217" t="str">
        <f t="shared" si="3"/>
        <v/>
      </c>
      <c r="AA10" s="218"/>
      <c r="AD10" s="2" t="e">
        <f t="shared" si="4"/>
        <v>#VALUE!</v>
      </c>
      <c r="AE10" s="2" t="e">
        <f t="shared" si="5"/>
        <v>#VALUE!</v>
      </c>
      <c r="AG10" s="37" t="b">
        <v>0</v>
      </c>
      <c r="AH10" s="2" t="str">
        <f t="shared" si="6"/>
        <v>エラー</v>
      </c>
      <c r="AI10" s="2" t="str">
        <f t="shared" si="7"/>
        <v>エラー</v>
      </c>
      <c r="AK10" s="2" t="e">
        <f t="shared" si="8"/>
        <v>#DIV/0!</v>
      </c>
      <c r="AL10" s="2" t="e">
        <f t="shared" si="9"/>
        <v>#DIV/0!</v>
      </c>
      <c r="AN10" s="2">
        <f t="shared" si="10"/>
        <v>0</v>
      </c>
      <c r="AO10" s="19" t="str">
        <f t="shared" si="1"/>
        <v>FALSE</v>
      </c>
    </row>
    <row r="11" spans="2:41" s="2" customFormat="1" ht="21.95" customHeight="1">
      <c r="B11" s="230"/>
      <c r="C11" s="331"/>
      <c r="D11" s="332"/>
      <c r="E11" s="333"/>
      <c r="F11" s="333"/>
      <c r="G11" s="334"/>
      <c r="H11" s="236"/>
      <c r="I11" s="236"/>
      <c r="J11" s="236"/>
      <c r="K11" s="236"/>
      <c r="L11" s="281"/>
      <c r="M11" s="281"/>
      <c r="N11" s="323"/>
      <c r="O11" s="324"/>
      <c r="P11" s="326"/>
      <c r="Q11" s="335"/>
      <c r="R11" s="330"/>
      <c r="S11" s="335"/>
      <c r="T11" s="330"/>
      <c r="U11" s="329"/>
      <c r="V11" s="217" t="str">
        <f t="shared" si="2"/>
        <v/>
      </c>
      <c r="W11" s="217"/>
      <c r="X11" s="217" t="str">
        <f t="shared" si="0"/>
        <v/>
      </c>
      <c r="Y11" s="217"/>
      <c r="Z11" s="217" t="str">
        <f t="shared" si="3"/>
        <v/>
      </c>
      <c r="AA11" s="218"/>
      <c r="AD11" s="2" t="e">
        <f t="shared" si="4"/>
        <v>#VALUE!</v>
      </c>
      <c r="AE11" s="2" t="e">
        <f t="shared" si="5"/>
        <v>#VALUE!</v>
      </c>
      <c r="AG11" s="37" t="b">
        <v>0</v>
      </c>
      <c r="AH11" s="2" t="str">
        <f t="shared" si="6"/>
        <v>エラー</v>
      </c>
      <c r="AI11" s="2" t="str">
        <f t="shared" si="7"/>
        <v>エラー</v>
      </c>
      <c r="AK11" s="2" t="e">
        <f t="shared" si="8"/>
        <v>#DIV/0!</v>
      </c>
      <c r="AL11" s="2" t="e">
        <f t="shared" si="9"/>
        <v>#DIV/0!</v>
      </c>
      <c r="AN11" s="2">
        <f t="shared" si="10"/>
        <v>0</v>
      </c>
      <c r="AO11" s="19" t="str">
        <f t="shared" si="1"/>
        <v>FALSE</v>
      </c>
    </row>
    <row r="12" spans="2:41" s="2" customFormat="1" ht="21.95" customHeight="1">
      <c r="B12" s="230"/>
      <c r="C12" s="231"/>
      <c r="D12" s="232"/>
      <c r="E12" s="285"/>
      <c r="F12" s="286"/>
      <c r="G12" s="233"/>
      <c r="H12" s="232"/>
      <c r="I12" s="233"/>
      <c r="J12" s="232"/>
      <c r="K12" s="233"/>
      <c r="L12" s="295"/>
      <c r="M12" s="296"/>
      <c r="N12" s="323"/>
      <c r="O12" s="336"/>
      <c r="P12" s="326"/>
      <c r="Q12" s="335"/>
      <c r="R12" s="330"/>
      <c r="S12" s="335"/>
      <c r="T12" s="330"/>
      <c r="U12" s="329"/>
      <c r="V12" s="215" t="str">
        <f t="shared" si="2"/>
        <v/>
      </c>
      <c r="W12" s="216"/>
      <c r="X12" s="215" t="str">
        <f t="shared" si="0"/>
        <v/>
      </c>
      <c r="Y12" s="216"/>
      <c r="Z12" s="215" t="str">
        <f t="shared" si="3"/>
        <v/>
      </c>
      <c r="AA12" s="238"/>
      <c r="AD12" s="2" t="e">
        <f t="shared" si="4"/>
        <v>#VALUE!</v>
      </c>
      <c r="AE12" s="2" t="e">
        <f t="shared" si="5"/>
        <v>#VALUE!</v>
      </c>
      <c r="AG12" s="37" t="b">
        <v>0</v>
      </c>
      <c r="AH12" s="2" t="str">
        <f t="shared" si="6"/>
        <v>エラー</v>
      </c>
      <c r="AI12" s="2" t="str">
        <f t="shared" si="7"/>
        <v>エラー</v>
      </c>
      <c r="AK12" s="2" t="e">
        <f t="shared" si="8"/>
        <v>#DIV/0!</v>
      </c>
      <c r="AL12" s="2" t="e">
        <f t="shared" si="9"/>
        <v>#DIV/0!</v>
      </c>
      <c r="AN12" s="2">
        <f t="shared" si="10"/>
        <v>0</v>
      </c>
      <c r="AO12" s="19" t="str">
        <f t="shared" si="1"/>
        <v>FALSE</v>
      </c>
    </row>
    <row r="13" spans="2:41" s="2" customFormat="1" ht="21.95" customHeight="1">
      <c r="B13" s="230"/>
      <c r="C13" s="231"/>
      <c r="D13" s="232"/>
      <c r="E13" s="285"/>
      <c r="F13" s="286"/>
      <c r="G13" s="233"/>
      <c r="H13" s="232"/>
      <c r="I13" s="233"/>
      <c r="J13" s="232"/>
      <c r="K13" s="233"/>
      <c r="L13" s="295"/>
      <c r="M13" s="296"/>
      <c r="N13" s="323"/>
      <c r="O13" s="336"/>
      <c r="P13" s="326"/>
      <c r="Q13" s="335"/>
      <c r="R13" s="330"/>
      <c r="S13" s="335"/>
      <c r="T13" s="330"/>
      <c r="U13" s="329"/>
      <c r="V13" s="215" t="str">
        <f t="shared" si="2"/>
        <v/>
      </c>
      <c r="W13" s="216"/>
      <c r="X13" s="215" t="str">
        <f t="shared" si="0"/>
        <v/>
      </c>
      <c r="Y13" s="216"/>
      <c r="Z13" s="215" t="str">
        <f t="shared" si="3"/>
        <v/>
      </c>
      <c r="AA13" s="238"/>
      <c r="AD13" s="2" t="e">
        <f t="shared" si="4"/>
        <v>#VALUE!</v>
      </c>
      <c r="AE13" s="2" t="e">
        <f t="shared" si="5"/>
        <v>#VALUE!</v>
      </c>
      <c r="AG13" s="37" t="b">
        <v>0</v>
      </c>
      <c r="AH13" s="2" t="str">
        <f t="shared" si="6"/>
        <v>エラー</v>
      </c>
      <c r="AI13" s="2" t="str">
        <f t="shared" si="7"/>
        <v>エラー</v>
      </c>
      <c r="AK13" s="2" t="e">
        <f t="shared" si="8"/>
        <v>#DIV/0!</v>
      </c>
      <c r="AL13" s="2" t="e">
        <f t="shared" si="9"/>
        <v>#DIV/0!</v>
      </c>
      <c r="AN13" s="2">
        <f t="shared" si="10"/>
        <v>0</v>
      </c>
      <c r="AO13" s="19" t="str">
        <f t="shared" si="1"/>
        <v>FALSE</v>
      </c>
    </row>
    <row r="14" spans="2:41" s="2" customFormat="1" ht="21.95" customHeight="1">
      <c r="B14" s="230"/>
      <c r="C14" s="331"/>
      <c r="D14" s="332"/>
      <c r="E14" s="333"/>
      <c r="F14" s="333"/>
      <c r="G14" s="334"/>
      <c r="H14" s="236"/>
      <c r="I14" s="236"/>
      <c r="J14" s="236"/>
      <c r="K14" s="236"/>
      <c r="L14" s="281"/>
      <c r="M14" s="281"/>
      <c r="N14" s="323"/>
      <c r="O14" s="324"/>
      <c r="P14" s="326"/>
      <c r="Q14" s="335"/>
      <c r="R14" s="330"/>
      <c r="S14" s="335"/>
      <c r="T14" s="330"/>
      <c r="U14" s="329"/>
      <c r="V14" s="217" t="str">
        <f t="shared" si="2"/>
        <v/>
      </c>
      <c r="W14" s="217"/>
      <c r="X14" s="217" t="str">
        <f t="shared" si="0"/>
        <v/>
      </c>
      <c r="Y14" s="217"/>
      <c r="Z14" s="217" t="str">
        <f t="shared" si="3"/>
        <v/>
      </c>
      <c r="AA14" s="218"/>
      <c r="AD14" s="2" t="e">
        <f t="shared" si="4"/>
        <v>#VALUE!</v>
      </c>
      <c r="AE14" s="2" t="e">
        <f t="shared" si="5"/>
        <v>#VALUE!</v>
      </c>
      <c r="AG14" s="37" t="b">
        <v>0</v>
      </c>
      <c r="AH14" s="2" t="str">
        <f t="shared" si="6"/>
        <v>エラー</v>
      </c>
      <c r="AI14" s="2" t="str">
        <f t="shared" si="7"/>
        <v>エラー</v>
      </c>
      <c r="AK14" s="2" t="e">
        <f t="shared" si="8"/>
        <v>#DIV/0!</v>
      </c>
      <c r="AL14" s="2" t="e">
        <f t="shared" si="9"/>
        <v>#DIV/0!</v>
      </c>
      <c r="AN14" s="2">
        <f t="shared" si="10"/>
        <v>0</v>
      </c>
      <c r="AO14" s="19" t="str">
        <f t="shared" si="1"/>
        <v>FALSE</v>
      </c>
    </row>
    <row r="15" spans="2:41" s="2" customFormat="1" ht="21.95" customHeight="1">
      <c r="B15" s="230"/>
      <c r="C15" s="331"/>
      <c r="D15" s="332"/>
      <c r="E15" s="333"/>
      <c r="F15" s="333"/>
      <c r="G15" s="334"/>
      <c r="H15" s="236"/>
      <c r="I15" s="236"/>
      <c r="J15" s="236"/>
      <c r="K15" s="236"/>
      <c r="L15" s="281"/>
      <c r="M15" s="281"/>
      <c r="N15" s="323"/>
      <c r="O15" s="324"/>
      <c r="P15" s="326"/>
      <c r="Q15" s="335"/>
      <c r="R15" s="330"/>
      <c r="S15" s="335"/>
      <c r="T15" s="330"/>
      <c r="U15" s="329"/>
      <c r="V15" s="215" t="str">
        <f t="shared" si="2"/>
        <v/>
      </c>
      <c r="W15" s="216"/>
      <c r="X15" s="217" t="str">
        <f t="shared" si="0"/>
        <v/>
      </c>
      <c r="Y15" s="217"/>
      <c r="Z15" s="217" t="str">
        <f t="shared" si="3"/>
        <v/>
      </c>
      <c r="AA15" s="218"/>
      <c r="AD15" s="2" t="e">
        <f t="shared" si="4"/>
        <v>#VALUE!</v>
      </c>
      <c r="AE15" s="2" t="e">
        <f t="shared" si="5"/>
        <v>#VALUE!</v>
      </c>
      <c r="AG15" s="37" t="b">
        <v>0</v>
      </c>
      <c r="AH15" s="2" t="str">
        <f t="shared" si="6"/>
        <v>エラー</v>
      </c>
      <c r="AI15" s="2" t="str">
        <f t="shared" si="7"/>
        <v>エラー</v>
      </c>
      <c r="AK15" s="2" t="e">
        <f t="shared" si="8"/>
        <v>#DIV/0!</v>
      </c>
      <c r="AL15" s="2" t="e">
        <f t="shared" si="9"/>
        <v>#DIV/0!</v>
      </c>
      <c r="AN15" s="2">
        <f t="shared" si="10"/>
        <v>0</v>
      </c>
      <c r="AO15" s="19" t="str">
        <f t="shared" si="1"/>
        <v>FALSE</v>
      </c>
    </row>
    <row r="16" spans="2:41" s="2" customFormat="1" ht="21.95" customHeight="1">
      <c r="B16" s="230"/>
      <c r="C16" s="331"/>
      <c r="D16" s="332"/>
      <c r="E16" s="333"/>
      <c r="F16" s="333"/>
      <c r="G16" s="334"/>
      <c r="H16" s="236"/>
      <c r="I16" s="236"/>
      <c r="J16" s="236"/>
      <c r="K16" s="236"/>
      <c r="L16" s="281"/>
      <c r="M16" s="281"/>
      <c r="N16" s="323"/>
      <c r="O16" s="324"/>
      <c r="P16" s="326"/>
      <c r="Q16" s="335"/>
      <c r="R16" s="330"/>
      <c r="S16" s="335"/>
      <c r="T16" s="330"/>
      <c r="U16" s="329"/>
      <c r="V16" s="215" t="str">
        <f t="shared" si="2"/>
        <v/>
      </c>
      <c r="W16" s="216"/>
      <c r="X16" s="217" t="str">
        <f t="shared" si="0"/>
        <v/>
      </c>
      <c r="Y16" s="217"/>
      <c r="Z16" s="217" t="str">
        <f t="shared" si="3"/>
        <v/>
      </c>
      <c r="AA16" s="218"/>
      <c r="AD16" s="2" t="e">
        <f t="shared" si="4"/>
        <v>#VALUE!</v>
      </c>
      <c r="AE16" s="2" t="e">
        <f t="shared" si="5"/>
        <v>#VALUE!</v>
      </c>
      <c r="AG16" s="37" t="b">
        <v>0</v>
      </c>
      <c r="AH16" s="2" t="str">
        <f t="shared" si="6"/>
        <v>エラー</v>
      </c>
      <c r="AI16" s="2" t="str">
        <f t="shared" si="7"/>
        <v>エラー</v>
      </c>
      <c r="AK16" s="2" t="e">
        <f t="shared" si="8"/>
        <v>#DIV/0!</v>
      </c>
      <c r="AL16" s="2" t="e">
        <f t="shared" si="9"/>
        <v>#DIV/0!</v>
      </c>
      <c r="AN16" s="2">
        <f t="shared" si="10"/>
        <v>0</v>
      </c>
      <c r="AO16" s="19" t="str">
        <f t="shared" si="1"/>
        <v>FALSE</v>
      </c>
    </row>
    <row r="17" spans="2:41" s="2" customFormat="1" ht="21.95" customHeight="1">
      <c r="B17" s="230"/>
      <c r="C17" s="331"/>
      <c r="D17" s="332"/>
      <c r="E17" s="333"/>
      <c r="F17" s="333"/>
      <c r="G17" s="334"/>
      <c r="H17" s="236"/>
      <c r="I17" s="236"/>
      <c r="J17" s="236"/>
      <c r="K17" s="236"/>
      <c r="L17" s="281"/>
      <c r="M17" s="281"/>
      <c r="N17" s="323"/>
      <c r="O17" s="324"/>
      <c r="P17" s="325"/>
      <c r="Q17" s="326"/>
      <c r="R17" s="330"/>
      <c r="S17" s="335"/>
      <c r="T17" s="330"/>
      <c r="U17" s="329"/>
      <c r="V17" s="215" t="str">
        <f t="shared" si="2"/>
        <v/>
      </c>
      <c r="W17" s="216"/>
      <c r="X17" s="217" t="str">
        <f t="shared" si="0"/>
        <v/>
      </c>
      <c r="Y17" s="217"/>
      <c r="Z17" s="217" t="str">
        <f t="shared" si="3"/>
        <v/>
      </c>
      <c r="AA17" s="218"/>
      <c r="AD17" s="2" t="e">
        <f t="shared" si="4"/>
        <v>#VALUE!</v>
      </c>
      <c r="AE17" s="2" t="e">
        <f t="shared" si="5"/>
        <v>#VALUE!</v>
      </c>
      <c r="AG17" s="37" t="b">
        <v>0</v>
      </c>
      <c r="AH17" s="2" t="str">
        <f t="shared" si="6"/>
        <v>エラー</v>
      </c>
      <c r="AI17" s="2" t="str">
        <f t="shared" si="7"/>
        <v>エラー</v>
      </c>
      <c r="AK17" s="2" t="e">
        <f t="shared" si="8"/>
        <v>#DIV/0!</v>
      </c>
      <c r="AL17" s="2" t="e">
        <f t="shared" si="9"/>
        <v>#DIV/0!</v>
      </c>
      <c r="AN17" s="2">
        <f t="shared" si="10"/>
        <v>0</v>
      </c>
      <c r="AO17" s="19" t="str">
        <f t="shared" si="1"/>
        <v>FALSE</v>
      </c>
    </row>
    <row r="18" spans="2:41" s="2" customFormat="1" ht="21.95" customHeight="1">
      <c r="B18" s="230"/>
      <c r="C18" s="331"/>
      <c r="D18" s="332"/>
      <c r="E18" s="333"/>
      <c r="F18" s="333"/>
      <c r="G18" s="334"/>
      <c r="H18" s="236"/>
      <c r="I18" s="236"/>
      <c r="J18" s="236"/>
      <c r="K18" s="236"/>
      <c r="L18" s="281"/>
      <c r="M18" s="281"/>
      <c r="N18" s="323"/>
      <c r="O18" s="324"/>
      <c r="P18" s="325"/>
      <c r="Q18" s="326"/>
      <c r="R18" s="327"/>
      <c r="S18" s="328"/>
      <c r="T18" s="329"/>
      <c r="U18" s="325"/>
      <c r="V18" s="215" t="str">
        <f t="shared" si="2"/>
        <v/>
      </c>
      <c r="W18" s="216"/>
      <c r="X18" s="217" t="str">
        <f t="shared" si="0"/>
        <v/>
      </c>
      <c r="Y18" s="217"/>
      <c r="Z18" s="217" t="str">
        <f t="shared" si="3"/>
        <v/>
      </c>
      <c r="AA18" s="218"/>
      <c r="AD18" s="2" t="e">
        <f t="shared" si="4"/>
        <v>#VALUE!</v>
      </c>
      <c r="AE18" s="2" t="e">
        <f t="shared" si="5"/>
        <v>#VALUE!</v>
      </c>
      <c r="AG18" s="37" t="b">
        <v>0</v>
      </c>
      <c r="AH18" s="2" t="str">
        <f t="shared" si="6"/>
        <v>エラー</v>
      </c>
      <c r="AI18" s="2" t="str">
        <f t="shared" si="7"/>
        <v>エラー</v>
      </c>
      <c r="AK18" s="2" t="e">
        <f t="shared" si="8"/>
        <v>#DIV/0!</v>
      </c>
      <c r="AL18" s="2" t="e">
        <f t="shared" si="9"/>
        <v>#DIV/0!</v>
      </c>
      <c r="AN18" s="2">
        <f t="shared" si="10"/>
        <v>0</v>
      </c>
      <c r="AO18" s="19" t="str">
        <f t="shared" si="1"/>
        <v>FALSE</v>
      </c>
    </row>
    <row r="19" spans="2:41" s="2" customFormat="1" ht="21.95" customHeight="1" thickBot="1">
      <c r="B19" s="219"/>
      <c r="C19" s="316"/>
      <c r="D19" s="277"/>
      <c r="E19" s="278"/>
      <c r="F19" s="278"/>
      <c r="G19" s="279"/>
      <c r="H19" s="280"/>
      <c r="I19" s="280"/>
      <c r="J19" s="280"/>
      <c r="K19" s="280"/>
      <c r="L19" s="317"/>
      <c r="M19" s="317"/>
      <c r="N19" s="318"/>
      <c r="O19" s="319"/>
      <c r="P19" s="315"/>
      <c r="Q19" s="320"/>
      <c r="R19" s="321"/>
      <c r="S19" s="322"/>
      <c r="T19" s="314"/>
      <c r="U19" s="315"/>
      <c r="V19" s="215" t="str">
        <f t="shared" si="2"/>
        <v/>
      </c>
      <c r="W19" s="216"/>
      <c r="X19" s="217" t="str">
        <f t="shared" si="0"/>
        <v/>
      </c>
      <c r="Y19" s="217"/>
      <c r="Z19" s="226" t="str">
        <f t="shared" si="3"/>
        <v/>
      </c>
      <c r="AA19" s="229"/>
      <c r="AD19" s="2" t="e">
        <f t="shared" si="4"/>
        <v>#VALUE!</v>
      </c>
      <c r="AE19" s="2" t="e">
        <f t="shared" si="5"/>
        <v>#VALUE!</v>
      </c>
      <c r="AG19" s="37" t="b">
        <v>0</v>
      </c>
      <c r="AH19" s="2" t="str">
        <f t="shared" si="6"/>
        <v>エラー</v>
      </c>
      <c r="AI19" s="2" t="str">
        <f t="shared" si="7"/>
        <v>エラー</v>
      </c>
      <c r="AK19" s="2" t="e">
        <f t="shared" si="8"/>
        <v>#DIV/0!</v>
      </c>
      <c r="AL19" s="2" t="e">
        <f t="shared" si="9"/>
        <v>#DIV/0!</v>
      </c>
      <c r="AN19" s="2">
        <f t="shared" si="10"/>
        <v>0</v>
      </c>
      <c r="AO19" s="19" t="str">
        <f t="shared" si="1"/>
        <v>FALSE</v>
      </c>
    </row>
    <row r="20" spans="2:41" s="2" customFormat="1" ht="21.95" customHeight="1" thickBot="1">
      <c r="B20" s="200" t="s">
        <v>70</v>
      </c>
      <c r="C20" s="201"/>
      <c r="D20" s="201"/>
      <c r="E20" s="201"/>
      <c r="F20" s="201"/>
      <c r="G20" s="201"/>
      <c r="H20" s="201"/>
      <c r="I20" s="201"/>
      <c r="J20" s="201"/>
      <c r="K20" s="201"/>
      <c r="L20" s="201"/>
      <c r="M20" s="201"/>
      <c r="N20" s="201"/>
      <c r="O20" s="201"/>
      <c r="P20" s="201"/>
      <c r="Q20" s="201"/>
      <c r="R20" s="201"/>
      <c r="S20" s="201"/>
      <c r="T20" s="201"/>
      <c r="U20" s="201"/>
      <c r="V20" s="202">
        <f>SUM(V8:W19)</f>
        <v>0</v>
      </c>
      <c r="W20" s="202"/>
      <c r="X20" s="202">
        <f>IF(共通条件・結果!AA7="８地域","-",SUM(X8:Y19))</f>
        <v>0</v>
      </c>
      <c r="Y20" s="202"/>
      <c r="Z20" s="202">
        <f>SUM(Z8:AA19)</f>
        <v>0</v>
      </c>
      <c r="AA20" s="203"/>
    </row>
    <row r="21" spans="2:41" s="2" customFormat="1" ht="9.9499999999999993" customHeight="1">
      <c r="AN21" s="287"/>
      <c r="AO21" s="287"/>
    </row>
    <row r="22" spans="2:41" s="2" customFormat="1" ht="21.95" customHeight="1" thickBot="1">
      <c r="E22" s="4"/>
      <c r="J22" s="4" t="s">
        <v>13</v>
      </c>
    </row>
    <row r="23" spans="2:41" s="2" customFormat="1" ht="21.95" customHeight="1">
      <c r="J23" s="248" t="s">
        <v>14</v>
      </c>
      <c r="K23" s="195"/>
      <c r="L23" s="195"/>
      <c r="M23" s="249"/>
      <c r="N23" s="302" t="s">
        <v>140</v>
      </c>
      <c r="O23" s="195"/>
      <c r="P23" s="195"/>
      <c r="Q23" s="249"/>
      <c r="R23" s="266" t="s">
        <v>141</v>
      </c>
      <c r="S23" s="178"/>
      <c r="T23" s="306" t="s">
        <v>9</v>
      </c>
      <c r="U23" s="307"/>
      <c r="V23" s="254" t="s">
        <v>145</v>
      </c>
      <c r="W23" s="255"/>
      <c r="X23" s="254" t="s">
        <v>143</v>
      </c>
      <c r="Y23" s="255"/>
      <c r="Z23" s="254" t="s">
        <v>110</v>
      </c>
      <c r="AA23" s="196"/>
      <c r="AN23" s="287" t="s">
        <v>58</v>
      </c>
      <c r="AO23" s="287"/>
    </row>
    <row r="24" spans="2:41" s="2" customFormat="1" ht="21.95" customHeight="1">
      <c r="J24" s="250"/>
      <c r="K24" s="287"/>
      <c r="L24" s="287"/>
      <c r="M24" s="251"/>
      <c r="N24" s="303"/>
      <c r="O24" s="304"/>
      <c r="P24" s="304"/>
      <c r="Q24" s="305"/>
      <c r="R24" s="269"/>
      <c r="S24" s="267"/>
      <c r="T24" s="308"/>
      <c r="U24" s="309"/>
      <c r="V24" s="256"/>
      <c r="W24" s="257"/>
      <c r="X24" s="256"/>
      <c r="Y24" s="257"/>
      <c r="Z24" s="298"/>
      <c r="AA24" s="299"/>
      <c r="AN24" s="19"/>
      <c r="AO24" s="19"/>
    </row>
    <row r="25" spans="2:41" s="2" customFormat="1" ht="21.95" customHeight="1" thickBot="1">
      <c r="J25" s="252"/>
      <c r="K25" s="297"/>
      <c r="L25" s="297"/>
      <c r="M25" s="253"/>
      <c r="N25" s="311" t="s">
        <v>8</v>
      </c>
      <c r="O25" s="312"/>
      <c r="P25" s="313" t="s">
        <v>7</v>
      </c>
      <c r="Q25" s="268"/>
      <c r="R25" s="268"/>
      <c r="S25" s="268"/>
      <c r="T25" s="310"/>
      <c r="U25" s="310"/>
      <c r="V25" s="258"/>
      <c r="W25" s="259"/>
      <c r="X25" s="258"/>
      <c r="Y25" s="259"/>
      <c r="Z25" s="300"/>
      <c r="AA25" s="301"/>
      <c r="AN25" s="45" t="s">
        <v>56</v>
      </c>
      <c r="AO25" s="2" t="s">
        <v>54</v>
      </c>
    </row>
    <row r="26" spans="2:41" s="2" customFormat="1" ht="21.95" customHeight="1">
      <c r="D26" s="56"/>
      <c r="E26" s="56"/>
      <c r="J26" s="288"/>
      <c r="K26" s="289"/>
      <c r="L26" s="289"/>
      <c r="M26" s="290"/>
      <c r="N26" s="291"/>
      <c r="O26" s="292"/>
      <c r="P26" s="292"/>
      <c r="Q26" s="293"/>
      <c r="R26" s="245"/>
      <c r="S26" s="245"/>
      <c r="T26" s="294"/>
      <c r="U26" s="294"/>
      <c r="V26" s="246" t="str">
        <f>IF(N26="","",N26*P26*R26*0.034*$V$4)</f>
        <v/>
      </c>
      <c r="W26" s="246"/>
      <c r="X26" s="246" t="str">
        <f>IF(N26="","",IF(ISERROR(N26*P26*R26*0.034*$X$4),"-",N26*P26*R26*0.034*$X$4))</f>
        <v/>
      </c>
      <c r="Y26" s="246"/>
      <c r="Z26" s="246" t="str">
        <f>IF(N26="","",N26*P26*AN26)</f>
        <v/>
      </c>
      <c r="AA26" s="247"/>
      <c r="AD26" s="37"/>
      <c r="AN26" s="2">
        <f>IF(AO26="FALSE",R26,IF(T26="風除室",1/((1/R26)+0.1),0.5*R26+0.5*(1/((1/R26)+AO26))))</f>
        <v>0</v>
      </c>
      <c r="AO26" s="19" t="str">
        <f>IF(T26="","FALSE",IF(T26="雨戸",0.1,IF(T26="ｼｬｯﾀｰ",0.1,IF(T26="障子",0.18,IF(T26="風除室",0.1)))))</f>
        <v>FALSE</v>
      </c>
    </row>
    <row r="27" spans="2:41" s="2" customFormat="1" ht="21.95" customHeight="1">
      <c r="D27" s="56"/>
      <c r="E27" s="56"/>
      <c r="J27" s="282"/>
      <c r="K27" s="283"/>
      <c r="L27" s="283"/>
      <c r="M27" s="284"/>
      <c r="N27" s="232"/>
      <c r="O27" s="285"/>
      <c r="P27" s="286"/>
      <c r="Q27" s="233"/>
      <c r="R27" s="232"/>
      <c r="S27" s="233"/>
      <c r="T27" s="295"/>
      <c r="U27" s="296"/>
      <c r="V27" s="215" t="str">
        <f>IF(N27="","",N27*P27*R27*0.034*$V$4)</f>
        <v/>
      </c>
      <c r="W27" s="216"/>
      <c r="X27" s="215" t="str">
        <f>IF(N27="","",IF(ISERROR(N27*P27*R27*0.034*$X$4),"-",N27*P27*R27*0.034*$X$4))</f>
        <v/>
      </c>
      <c r="Y27" s="216"/>
      <c r="Z27" s="215" t="str">
        <f>IF(N27="","",N27*P27*AN27)</f>
        <v/>
      </c>
      <c r="AA27" s="238"/>
      <c r="AD27" s="37"/>
      <c r="AN27" s="2">
        <f>IF(AO27="FALSE",R27,IF(T27="風除室",1/((1/R27)+0.1),0.5*R27+0.5*(1/((1/R27)+AO27))))</f>
        <v>0</v>
      </c>
      <c r="AO27" s="19" t="str">
        <f>IF(T27="","FALSE",IF(T27="雨戸",0.1,IF(T27="ｼｬｯﾀｰ",0.1,IF(T27="障子",0.18,IF(T27="風除室",0.1)))))</f>
        <v>FALSE</v>
      </c>
    </row>
    <row r="28" spans="2:41" s="2" customFormat="1" ht="21.95" customHeight="1" thickBot="1">
      <c r="D28" s="56"/>
      <c r="E28" s="56"/>
      <c r="J28" s="274"/>
      <c r="K28" s="275"/>
      <c r="L28" s="275"/>
      <c r="M28" s="276"/>
      <c r="N28" s="277"/>
      <c r="O28" s="278"/>
      <c r="P28" s="278"/>
      <c r="Q28" s="279"/>
      <c r="R28" s="280"/>
      <c r="S28" s="280"/>
      <c r="T28" s="281"/>
      <c r="U28" s="281"/>
      <c r="V28" s="270" t="str">
        <f>IF(N28="","",N28*P28*R28*0.034*$V$4)</f>
        <v/>
      </c>
      <c r="W28" s="270"/>
      <c r="X28" s="270" t="str">
        <f>IF(N28="","",IF(ISERROR(N28*P28*R28*0.034*$X$4),"-",N28*P28*R28*0.034*$X$4))</f>
        <v/>
      </c>
      <c r="Y28" s="270"/>
      <c r="Z28" s="270" t="str">
        <f>IF(N28="","",N28*P28*AN28)</f>
        <v/>
      </c>
      <c r="AA28" s="271"/>
      <c r="AD28" s="37"/>
      <c r="AN28" s="2">
        <f>IF(AO28="FALSE",R28,IF(T28="風除室",1/((1/R28)+0.1),0.5*R28+0.5*(1/((1/R28)+AO28))))</f>
        <v>0</v>
      </c>
      <c r="AO28" s="19" t="str">
        <f>IF(T28="","FALSE",IF(T28="雨戸",0.1,IF(T28="ｼｬｯﾀｰ",0.1,IF(T28="障子",0.18,IF(T28="風除室",0.1)))))</f>
        <v>FALSE</v>
      </c>
    </row>
    <row r="29" spans="2:41" s="2" customFormat="1" ht="21.95" customHeight="1" thickBot="1">
      <c r="J29" s="200" t="s">
        <v>257</v>
      </c>
      <c r="K29" s="201"/>
      <c r="L29" s="201"/>
      <c r="M29" s="201"/>
      <c r="N29" s="201"/>
      <c r="O29" s="201"/>
      <c r="P29" s="201"/>
      <c r="Q29" s="201"/>
      <c r="R29" s="201"/>
      <c r="S29" s="201"/>
      <c r="T29" s="201"/>
      <c r="U29" s="348"/>
      <c r="V29" s="202">
        <f>SUM(V26:W28)</f>
        <v>0</v>
      </c>
      <c r="W29" s="202"/>
      <c r="X29" s="202">
        <f>SUM(X26:Y28)</f>
        <v>0</v>
      </c>
      <c r="Y29" s="202"/>
      <c r="Z29" s="202">
        <f>SUM(Z26:AA28)</f>
        <v>0</v>
      </c>
      <c r="AA29" s="203"/>
      <c r="AO29" s="19"/>
    </row>
    <row r="30" spans="2:41" s="2" customFormat="1" ht="9.9499999999999993" customHeight="1">
      <c r="J30" s="23"/>
      <c r="K30" s="23"/>
      <c r="L30" s="23"/>
      <c r="M30" s="23"/>
      <c r="N30" s="23"/>
      <c r="O30" s="23"/>
      <c r="P30" s="23"/>
      <c r="Q30" s="23"/>
      <c r="R30" s="23"/>
      <c r="S30" s="23"/>
      <c r="T30" s="23"/>
      <c r="U30" s="23"/>
      <c r="V30" s="46"/>
      <c r="W30" s="46"/>
      <c r="X30" s="46"/>
      <c r="Y30" s="46"/>
      <c r="Z30" s="46"/>
      <c r="AA30" s="46"/>
      <c r="AO30" s="19"/>
    </row>
    <row r="31" spans="2:41" s="2" customFormat="1" ht="21.95" customHeight="1" thickBot="1">
      <c r="J31" s="4" t="s">
        <v>15</v>
      </c>
      <c r="K31" s="4"/>
      <c r="L31" s="4"/>
      <c r="AO31" s="19"/>
    </row>
    <row r="32" spans="2:41" s="2" customFormat="1" ht="21.95" customHeight="1">
      <c r="J32" s="248" t="s">
        <v>0</v>
      </c>
      <c r="K32" s="249"/>
      <c r="L32" s="254" t="s">
        <v>146</v>
      </c>
      <c r="M32" s="255"/>
      <c r="N32" s="254" t="s">
        <v>147</v>
      </c>
      <c r="O32" s="255"/>
      <c r="P32" s="260" t="s">
        <v>148</v>
      </c>
      <c r="Q32" s="261"/>
      <c r="R32" s="266" t="s">
        <v>141</v>
      </c>
      <c r="S32" s="178"/>
      <c r="T32" s="266" t="s">
        <v>145</v>
      </c>
      <c r="U32" s="178"/>
      <c r="V32" s="266" t="s">
        <v>143</v>
      </c>
      <c r="W32" s="178"/>
      <c r="X32" s="266" t="s">
        <v>110</v>
      </c>
      <c r="Y32" s="179"/>
      <c r="AO32" s="19"/>
    </row>
    <row r="33" spans="2:41" s="2" customFormat="1" ht="21.95" customHeight="1">
      <c r="J33" s="250"/>
      <c r="K33" s="251"/>
      <c r="L33" s="256"/>
      <c r="M33" s="257"/>
      <c r="N33" s="256"/>
      <c r="O33" s="257"/>
      <c r="P33" s="262"/>
      <c r="Q33" s="263"/>
      <c r="R33" s="267"/>
      <c r="S33" s="267"/>
      <c r="T33" s="269"/>
      <c r="U33" s="267"/>
      <c r="V33" s="269"/>
      <c r="W33" s="267"/>
      <c r="X33" s="267"/>
      <c r="Y33" s="272"/>
      <c r="AO33" s="19"/>
    </row>
    <row r="34" spans="2:41" s="2" customFormat="1" ht="21.95" customHeight="1" thickBot="1">
      <c r="J34" s="252"/>
      <c r="K34" s="253"/>
      <c r="L34" s="258"/>
      <c r="M34" s="259"/>
      <c r="N34" s="258"/>
      <c r="O34" s="259"/>
      <c r="P34" s="264"/>
      <c r="Q34" s="265"/>
      <c r="R34" s="268"/>
      <c r="S34" s="268"/>
      <c r="T34" s="268"/>
      <c r="U34" s="268"/>
      <c r="V34" s="268"/>
      <c r="W34" s="268"/>
      <c r="X34" s="268"/>
      <c r="Y34" s="273"/>
    </row>
    <row r="35" spans="2:41" s="2" customFormat="1" ht="21.95" customHeight="1">
      <c r="J35" s="239"/>
      <c r="K35" s="240"/>
      <c r="L35" s="241"/>
      <c r="M35" s="242"/>
      <c r="N35" s="241"/>
      <c r="O35" s="242"/>
      <c r="P35" s="243" t="str">
        <f>IF(L35="","",L35-N35)</f>
        <v/>
      </c>
      <c r="Q35" s="244"/>
      <c r="R35" s="245"/>
      <c r="S35" s="245"/>
      <c r="T35" s="217" t="str">
        <f>IF(P35="","",P35*R35*0.034*$V$4)</f>
        <v/>
      </c>
      <c r="U35" s="217"/>
      <c r="V35" s="215" t="str">
        <f>IF(P35="","",IF(ISERROR(P35*R35*0.034*$X$4),"-",P35*R35*0.034*$X$4))</f>
        <v/>
      </c>
      <c r="W35" s="216"/>
      <c r="X35" s="246" t="str">
        <f>IF(R35="","",R35*P35)</f>
        <v/>
      </c>
      <c r="Y35" s="247"/>
      <c r="AD35" s="37"/>
      <c r="AE35" s="37"/>
      <c r="AF35" s="37"/>
    </row>
    <row r="36" spans="2:41" s="2" customFormat="1" ht="21.95" customHeight="1">
      <c r="J36" s="230"/>
      <c r="K36" s="231"/>
      <c r="L36" s="232"/>
      <c r="M36" s="233"/>
      <c r="N36" s="232"/>
      <c r="O36" s="233"/>
      <c r="P36" s="234" t="str">
        <f t="shared" ref="P36:P37" si="11">IF(L36="","",L36-N36)</f>
        <v/>
      </c>
      <c r="Q36" s="235"/>
      <c r="R36" s="232"/>
      <c r="S36" s="233"/>
      <c r="T36" s="215" t="str">
        <f t="shared" ref="T36:T39" si="12">IF(P36="","",P36*R36*0.034*$V$4)</f>
        <v/>
      </c>
      <c r="U36" s="216"/>
      <c r="V36" s="215" t="str">
        <f t="shared" ref="V36:V39" si="13">IF(P36="","",IF(ISERROR(P36*R36*0.034*$X$4),"-",P36*R36*0.034*$X$4))</f>
        <v/>
      </c>
      <c r="W36" s="216"/>
      <c r="X36" s="215" t="str">
        <f t="shared" ref="X36:X39" si="14">IF(R36="","",R36*P36)</f>
        <v/>
      </c>
      <c r="Y36" s="238"/>
      <c r="AD36" s="37"/>
      <c r="AE36" s="37"/>
      <c r="AF36" s="37"/>
    </row>
    <row r="37" spans="2:41" s="2" customFormat="1" ht="21.95" customHeight="1">
      <c r="J37" s="230"/>
      <c r="K37" s="231"/>
      <c r="L37" s="232"/>
      <c r="M37" s="233"/>
      <c r="N37" s="232"/>
      <c r="O37" s="233"/>
      <c r="P37" s="234" t="str">
        <f t="shared" si="11"/>
        <v/>
      </c>
      <c r="Q37" s="235"/>
      <c r="R37" s="232"/>
      <c r="S37" s="233"/>
      <c r="T37" s="215" t="str">
        <f t="shared" si="12"/>
        <v/>
      </c>
      <c r="U37" s="216"/>
      <c r="V37" s="215" t="str">
        <f t="shared" si="13"/>
        <v/>
      </c>
      <c r="W37" s="216"/>
      <c r="X37" s="215" t="str">
        <f t="shared" si="14"/>
        <v/>
      </c>
      <c r="Y37" s="238"/>
      <c r="AD37" s="37"/>
      <c r="AE37" s="37"/>
      <c r="AF37" s="37"/>
    </row>
    <row r="38" spans="2:41" s="2" customFormat="1" ht="21.95" customHeight="1">
      <c r="J38" s="230"/>
      <c r="K38" s="231"/>
      <c r="L38" s="232"/>
      <c r="M38" s="233"/>
      <c r="N38" s="232"/>
      <c r="O38" s="233"/>
      <c r="P38" s="234" t="str">
        <f>IF(L38="","",L38-N38)</f>
        <v/>
      </c>
      <c r="Q38" s="235"/>
      <c r="R38" s="236"/>
      <c r="S38" s="236"/>
      <c r="T38" s="217" t="str">
        <f t="shared" si="12"/>
        <v/>
      </c>
      <c r="U38" s="217"/>
      <c r="V38" s="215" t="str">
        <f t="shared" si="13"/>
        <v/>
      </c>
      <c r="W38" s="216"/>
      <c r="X38" s="217" t="str">
        <f t="shared" si="14"/>
        <v/>
      </c>
      <c r="Y38" s="218"/>
      <c r="AD38" s="37"/>
      <c r="AE38" s="37"/>
      <c r="AF38" s="37"/>
    </row>
    <row r="39" spans="2:41" s="2" customFormat="1" ht="21.95" customHeight="1" thickBot="1">
      <c r="J39" s="219"/>
      <c r="K39" s="220"/>
      <c r="L39" s="221"/>
      <c r="M39" s="222"/>
      <c r="N39" s="221"/>
      <c r="O39" s="222"/>
      <c r="P39" s="223" t="str">
        <f>IF(L39="","",L39-N39)</f>
        <v/>
      </c>
      <c r="Q39" s="224"/>
      <c r="R39" s="225"/>
      <c r="S39" s="225"/>
      <c r="T39" s="226" t="str">
        <f t="shared" si="12"/>
        <v/>
      </c>
      <c r="U39" s="226"/>
      <c r="V39" s="227" t="str">
        <f t="shared" si="13"/>
        <v/>
      </c>
      <c r="W39" s="228"/>
      <c r="X39" s="226" t="str">
        <f t="shared" si="14"/>
        <v/>
      </c>
      <c r="Y39" s="229"/>
      <c r="AD39" s="37"/>
      <c r="AE39" s="37"/>
      <c r="AF39" s="37"/>
    </row>
    <row r="40" spans="2:41" s="2" customFormat="1" ht="21.95" customHeight="1" thickBot="1">
      <c r="J40" s="200" t="s">
        <v>71</v>
      </c>
      <c r="K40" s="201"/>
      <c r="L40" s="201"/>
      <c r="M40" s="201"/>
      <c r="N40" s="201"/>
      <c r="O40" s="201"/>
      <c r="P40" s="201"/>
      <c r="Q40" s="201"/>
      <c r="R40" s="201"/>
      <c r="S40" s="201"/>
      <c r="T40" s="202">
        <f>SUM(T35:U39)</f>
        <v>0</v>
      </c>
      <c r="U40" s="202"/>
      <c r="V40" s="202">
        <f>IF(共通条件・結果!AA7="８地域","-",SUM(V35:W39))</f>
        <v>0</v>
      </c>
      <c r="W40" s="202"/>
      <c r="X40" s="202">
        <f>SUM(X35:Y39)</f>
        <v>0</v>
      </c>
      <c r="Y40" s="203"/>
    </row>
    <row r="41" spans="2:41" s="2" customFormat="1" ht="12">
      <c r="J41" s="47"/>
    </row>
    <row r="42" spans="2:41" s="2" customFormat="1" ht="21.95" customHeight="1" thickBot="1">
      <c r="B42" s="4" t="s">
        <v>72</v>
      </c>
    </row>
    <row r="43" spans="2:41" s="2" customFormat="1" ht="21.95" customHeight="1">
      <c r="B43" s="204" t="s">
        <v>67</v>
      </c>
      <c r="C43" s="205"/>
      <c r="D43" s="136" t="s">
        <v>37</v>
      </c>
      <c r="E43" s="137"/>
      <c r="F43" s="137"/>
      <c r="G43" s="137"/>
      <c r="H43" s="137"/>
      <c r="I43" s="137"/>
      <c r="J43" s="138"/>
      <c r="K43" s="9"/>
      <c r="L43" s="210">
        <f>Q43+U43+Y43</f>
        <v>0</v>
      </c>
      <c r="M43" s="210"/>
      <c r="N43" s="210"/>
      <c r="O43" s="9" t="s">
        <v>22</v>
      </c>
      <c r="P43" s="10" t="s">
        <v>21</v>
      </c>
      <c r="Q43" s="211">
        <f>D8*F8+D9*F9+D10*F10+D11*F11+D12*F12+D13*F13+D14*F14+D15*F15+D16*F16+D17*F17+D18*F18+D19*F19</f>
        <v>0</v>
      </c>
      <c r="R43" s="211"/>
      <c r="S43" s="48" t="s">
        <v>23</v>
      </c>
      <c r="T43" s="48" t="s">
        <v>20</v>
      </c>
      <c r="U43" s="212">
        <f>N26*P26+N27*P27+N28*P28</f>
        <v>0</v>
      </c>
      <c r="V43" s="212"/>
      <c r="W43" s="48" t="s">
        <v>23</v>
      </c>
      <c r="X43" s="48" t="s">
        <v>1</v>
      </c>
      <c r="Y43" s="214">
        <f>SUM(P35:Q39)</f>
        <v>0</v>
      </c>
      <c r="Z43" s="214"/>
      <c r="AA43" s="49" t="s">
        <v>17</v>
      </c>
    </row>
    <row r="44" spans="2:41" s="2" customFormat="1" ht="21.95" customHeight="1">
      <c r="B44" s="206"/>
      <c r="C44" s="207"/>
      <c r="D44" s="141" t="s">
        <v>47</v>
      </c>
      <c r="E44" s="142"/>
      <c r="F44" s="142"/>
      <c r="G44" s="142"/>
      <c r="H44" s="142"/>
      <c r="I44" s="142"/>
      <c r="J44" s="143"/>
      <c r="K44" s="8"/>
      <c r="L44" s="8"/>
      <c r="M44" s="8"/>
      <c r="N44" s="8"/>
      <c r="O44" s="8"/>
      <c r="P44" s="8"/>
      <c r="Q44" s="8"/>
      <c r="R44" s="8"/>
      <c r="S44" s="8"/>
      <c r="T44" s="8"/>
      <c r="U44" s="8"/>
      <c r="V44" s="8"/>
      <c r="W44" s="197">
        <f>V20+V29+T40</f>
        <v>0</v>
      </c>
      <c r="X44" s="197"/>
      <c r="Y44" s="197"/>
      <c r="Z44" s="198" t="s">
        <v>113</v>
      </c>
      <c r="AA44" s="199"/>
    </row>
    <row r="45" spans="2:41" s="2" customFormat="1" ht="21.95" customHeight="1">
      <c r="B45" s="206"/>
      <c r="C45" s="207"/>
      <c r="D45" s="141" t="s">
        <v>48</v>
      </c>
      <c r="E45" s="142"/>
      <c r="F45" s="142"/>
      <c r="G45" s="142"/>
      <c r="H45" s="142"/>
      <c r="I45" s="142"/>
      <c r="J45" s="143"/>
      <c r="K45" s="8"/>
      <c r="L45" s="8"/>
      <c r="M45" s="8"/>
      <c r="N45" s="8"/>
      <c r="O45" s="8"/>
      <c r="P45" s="8"/>
      <c r="Q45" s="8"/>
      <c r="R45" s="8"/>
      <c r="S45" s="8"/>
      <c r="T45" s="8"/>
      <c r="U45" s="8"/>
      <c r="V45" s="8"/>
      <c r="W45" s="197">
        <f>IF(共通条件・結果!AA7="８地域","-",$X$20+$X$29+$V$40)</f>
        <v>0</v>
      </c>
      <c r="X45" s="197"/>
      <c r="Y45" s="197"/>
      <c r="Z45" s="198" t="s">
        <v>113</v>
      </c>
      <c r="AA45" s="199"/>
    </row>
    <row r="46" spans="2:41" s="2" customFormat="1" ht="21.95" customHeight="1" thickBot="1">
      <c r="B46" s="208"/>
      <c r="C46" s="209"/>
      <c r="D46" s="180" t="s">
        <v>18</v>
      </c>
      <c r="E46" s="181"/>
      <c r="F46" s="181"/>
      <c r="G46" s="181"/>
      <c r="H46" s="181"/>
      <c r="I46" s="181"/>
      <c r="J46" s="182"/>
      <c r="K46" s="7"/>
      <c r="L46" s="7"/>
      <c r="M46" s="7"/>
      <c r="N46" s="7"/>
      <c r="O46" s="7"/>
      <c r="P46" s="7"/>
      <c r="Q46" s="7"/>
      <c r="R46" s="7"/>
      <c r="S46" s="7"/>
      <c r="T46" s="7"/>
      <c r="U46" s="7"/>
      <c r="V46" s="7"/>
      <c r="W46" s="237">
        <f>Z20+Z29+X40</f>
        <v>0</v>
      </c>
      <c r="X46" s="237"/>
      <c r="Y46" s="237"/>
      <c r="Z46" s="44" t="s">
        <v>19</v>
      </c>
      <c r="AA46" s="50"/>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Kg/xpm2r849S6iCp1BOix2bLV2i4OV+0ra/k6YptRrV8/LZexF3KDLJ16s2gJ/ja8rIriHkgBADhrNDOaOBDpA==" saltValue="svRH5PF/eHFZOFz/VqbmZA==" spinCount="100000" sheet="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B8:U19">
    <cfRule type="expression" dxfId="100" priority="155" stopIfTrue="1">
      <formula>$AE$2&lt;&gt;2</formula>
    </cfRule>
  </conditionalFormatting>
  <conditionalFormatting sqref="J35:O39">
    <cfRule type="expression" dxfId="99" priority="81" stopIfTrue="1">
      <formula>$AE$2&lt;&gt;2</formula>
    </cfRule>
  </conditionalFormatting>
  <conditionalFormatting sqref="J26:U28">
    <cfRule type="expression" dxfId="98" priority="119" stopIfTrue="1">
      <formula>$AE$2&lt;&gt;2</formula>
    </cfRule>
  </conditionalFormatting>
  <conditionalFormatting sqref="L43:N43">
    <cfRule type="expression" dxfId="97" priority="7">
      <formula>$AE$2&lt;&gt;2</formula>
    </cfRule>
  </conditionalFormatting>
  <conditionalFormatting sqref="P35:Q39">
    <cfRule type="expression" dxfId="96" priority="14">
      <formula>$AE$2&lt;&gt;2</formula>
    </cfRule>
  </conditionalFormatting>
  <conditionalFormatting sqref="Q43:R43">
    <cfRule type="expression" dxfId="95" priority="6">
      <formula>$AE$2&lt;&gt;2</formula>
    </cfRule>
  </conditionalFormatting>
  <conditionalFormatting sqref="R35:S39">
    <cfRule type="expression" dxfId="94" priority="79" stopIfTrue="1">
      <formula>$AE$2&lt;&gt;2</formula>
    </cfRule>
  </conditionalFormatting>
  <conditionalFormatting sqref="T35:Y40">
    <cfRule type="expression" dxfId="93" priority="8">
      <formula>$AE$2&lt;&gt;2</formula>
    </cfRule>
  </conditionalFormatting>
  <conditionalFormatting sqref="U43:V43">
    <cfRule type="expression" dxfId="92" priority="5">
      <formula>$AE$2&lt;&gt;2</formula>
    </cfRule>
  </conditionalFormatting>
  <conditionalFormatting sqref="V8:AA19">
    <cfRule type="expression" dxfId="91" priority="43">
      <formula>$AE$2&lt;&gt;2</formula>
    </cfRule>
  </conditionalFormatting>
  <conditionalFormatting sqref="V26:AA29">
    <cfRule type="expression" dxfId="90" priority="31">
      <formula>$AE$2&lt;&gt;2</formula>
    </cfRule>
  </conditionalFormatting>
  <conditionalFormatting sqref="W44:Y46">
    <cfRule type="expression" dxfId="89" priority="1">
      <formula>$AE$2&lt;&gt;2</formula>
    </cfRule>
  </conditionalFormatting>
  <conditionalFormatting sqref="Y43:Z43">
    <cfRule type="expression" dxfId="88" priority="4">
      <formula>$AE$2&lt;&gt;2</formula>
    </cfRule>
  </conditionalFormatting>
  <dataValidations count="1">
    <dataValidation type="list" allowBlank="1" showInputMessage="1" showErrorMessage="1" sqref="M14:M19 L8:L19 M8:M11 T26:T28 U26 U28" xr:uid="{00000000-0002-0000-03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18786"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18787"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18788"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18789"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18790"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18791"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18792"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18793"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18794"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18795"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18796"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AS108"/>
  <sheetViews>
    <sheetView view="pageBreakPreview" zoomScale="85" zoomScaleNormal="100" zoomScaleSheetLayoutView="85" workbookViewId="0">
      <selection activeCell="B11" sqref="B11:C11"/>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361" t="s">
        <v>205</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E2" s="101">
        <f>共通条件・結果!AE2</f>
        <v>1</v>
      </c>
    </row>
    <row r="3" spans="2:41" s="2" customFormat="1" ht="24.95" customHeight="1" thickBot="1">
      <c r="AE3" s="2" t="s">
        <v>271</v>
      </c>
    </row>
    <row r="4" spans="2:41" s="2" customFormat="1" ht="21.95" customHeight="1" thickBot="1">
      <c r="B4" s="4" t="s">
        <v>5</v>
      </c>
      <c r="R4" s="362" t="s">
        <v>33</v>
      </c>
      <c r="S4" s="363"/>
      <c r="T4" s="363"/>
      <c r="U4" s="364"/>
      <c r="V4" s="365" t="b">
        <f>IF(共通条件・結果!AA7="８地域","0.528",IF(共通条件・結果!AA7="７地域",0.49,IF(共通条件・結果!AA7="６地域",0.498,IF(共通条件・結果!AA7="５地域",0.5,IF(共通条件・結果!AA7="４地域",0.508,IF(共通条件・結果!AA7="３地域",0.487,IF(共通条件・結果!AA7="２地域",0.527,IF(共通条件・結果!AA7="１地域",0.56))))))))</f>
        <v>0</v>
      </c>
      <c r="W4" s="366"/>
      <c r="X4" s="365" t="b">
        <f>IF(共通条件・結果!AA7="８地域","-",IF(共通条件・結果!AA7="７地域",0.843,IF(共通条件・結果!AA7="６地域",0.833,IF(共通条件・結果!AA7="５地域",0.846,IF(共通条件・結果!AA7="４地域",0.724,IF(共通条件・結果!AA7="３地域",0.751,IF(共通条件・結果!AA7="２地域",0.766,IF(共通条件・結果!AA7="１地域",0.823))))))))</f>
        <v>0</v>
      </c>
      <c r="Y4" s="366"/>
    </row>
    <row r="5" spans="2:41" s="2" customFormat="1" ht="21.95" customHeight="1">
      <c r="B5" s="367" t="s">
        <v>6</v>
      </c>
      <c r="C5" s="178"/>
      <c r="D5" s="178" t="s">
        <v>140</v>
      </c>
      <c r="E5" s="178"/>
      <c r="F5" s="178"/>
      <c r="G5" s="178"/>
      <c r="H5" s="266" t="s">
        <v>141</v>
      </c>
      <c r="I5" s="178"/>
      <c r="J5" s="266" t="s">
        <v>65</v>
      </c>
      <c r="K5" s="178"/>
      <c r="L5" s="266" t="s">
        <v>9</v>
      </c>
      <c r="M5" s="178"/>
      <c r="N5" s="370" t="s">
        <v>46</v>
      </c>
      <c r="O5" s="214"/>
      <c r="P5" s="214"/>
      <c r="Q5" s="214"/>
      <c r="R5" s="214"/>
      <c r="S5" s="214"/>
      <c r="T5" s="214"/>
      <c r="U5" s="214"/>
      <c r="V5" s="266" t="s">
        <v>142</v>
      </c>
      <c r="W5" s="178"/>
      <c r="X5" s="266" t="s">
        <v>143</v>
      </c>
      <c r="Y5" s="178"/>
      <c r="Z5" s="266" t="s">
        <v>110</v>
      </c>
      <c r="AA5" s="179"/>
    </row>
    <row r="6" spans="2:41" s="2" customFormat="1" ht="21.95" customHeight="1">
      <c r="B6" s="368"/>
      <c r="C6" s="267"/>
      <c r="D6" s="349" t="s">
        <v>8</v>
      </c>
      <c r="E6" s="350"/>
      <c r="F6" s="353" t="s">
        <v>7</v>
      </c>
      <c r="G6" s="354"/>
      <c r="H6" s="267"/>
      <c r="I6" s="267"/>
      <c r="J6" s="269"/>
      <c r="K6" s="267"/>
      <c r="L6" s="269"/>
      <c r="M6" s="267"/>
      <c r="N6" s="355" t="s">
        <v>45</v>
      </c>
      <c r="O6" s="356"/>
      <c r="P6" s="358" t="s">
        <v>144</v>
      </c>
      <c r="Q6" s="359"/>
      <c r="R6" s="359"/>
      <c r="S6" s="359"/>
      <c r="T6" s="359"/>
      <c r="U6" s="360"/>
      <c r="V6" s="269"/>
      <c r="W6" s="267"/>
      <c r="X6" s="269"/>
      <c r="Y6" s="267"/>
      <c r="Z6" s="267"/>
      <c r="AA6" s="272"/>
      <c r="AD6" s="287" t="s">
        <v>49</v>
      </c>
      <c r="AE6" s="287"/>
      <c r="AF6" s="19"/>
      <c r="AG6" s="19"/>
      <c r="AH6" s="287" t="s">
        <v>12</v>
      </c>
      <c r="AI6" s="287"/>
      <c r="AJ6" s="19"/>
      <c r="AK6" s="287" t="s">
        <v>50</v>
      </c>
      <c r="AL6" s="287"/>
      <c r="AN6" s="287" t="s">
        <v>58</v>
      </c>
      <c r="AO6" s="287"/>
    </row>
    <row r="7" spans="2:41" s="2" customFormat="1" ht="21.95" customHeight="1" thickBot="1">
      <c r="B7" s="369"/>
      <c r="C7" s="268"/>
      <c r="D7" s="351"/>
      <c r="E7" s="352"/>
      <c r="F7" s="297"/>
      <c r="G7" s="253"/>
      <c r="H7" s="268"/>
      <c r="I7" s="268"/>
      <c r="J7" s="268"/>
      <c r="K7" s="268"/>
      <c r="L7" s="268"/>
      <c r="M7" s="268"/>
      <c r="N7" s="258"/>
      <c r="O7" s="357"/>
      <c r="P7" s="253" t="s">
        <v>10</v>
      </c>
      <c r="Q7" s="300"/>
      <c r="R7" s="346" t="s">
        <v>11</v>
      </c>
      <c r="S7" s="347"/>
      <c r="T7" s="253" t="s">
        <v>3</v>
      </c>
      <c r="U7" s="300"/>
      <c r="V7" s="268"/>
      <c r="W7" s="268"/>
      <c r="X7" s="268"/>
      <c r="Y7" s="268"/>
      <c r="Z7" s="268"/>
      <c r="AA7" s="273"/>
      <c r="AD7" s="19" t="s">
        <v>4</v>
      </c>
      <c r="AE7" s="19" t="s">
        <v>16</v>
      </c>
      <c r="AF7" s="19"/>
      <c r="AG7" s="19"/>
      <c r="AH7" s="19" t="s">
        <v>4</v>
      </c>
      <c r="AI7" s="19" t="s">
        <v>16</v>
      </c>
      <c r="AJ7" s="19"/>
      <c r="AK7" s="19" t="s">
        <v>4</v>
      </c>
      <c r="AL7" s="19" t="s">
        <v>16</v>
      </c>
      <c r="AN7" s="45" t="s">
        <v>56</v>
      </c>
      <c r="AO7" s="2" t="s">
        <v>54</v>
      </c>
    </row>
    <row r="8" spans="2:41" s="2" customFormat="1" ht="21.95" customHeight="1">
      <c r="B8" s="239"/>
      <c r="C8" s="345"/>
      <c r="D8" s="291"/>
      <c r="E8" s="292"/>
      <c r="F8" s="292"/>
      <c r="G8" s="293"/>
      <c r="H8" s="245"/>
      <c r="I8" s="245"/>
      <c r="J8" s="245"/>
      <c r="K8" s="245"/>
      <c r="L8" s="317"/>
      <c r="M8" s="317"/>
      <c r="N8" s="337"/>
      <c r="O8" s="338"/>
      <c r="P8" s="339"/>
      <c r="Q8" s="340"/>
      <c r="R8" s="341"/>
      <c r="S8" s="342"/>
      <c r="T8" s="343"/>
      <c r="U8" s="339"/>
      <c r="V8" s="344" t="str">
        <f>IF(D8="","",AD8)</f>
        <v/>
      </c>
      <c r="W8" s="344"/>
      <c r="X8" s="344" t="str">
        <f t="shared" ref="X8:X19" si="0">IF(D8="","",IF(ISERROR(AE8),"-",AE8))</f>
        <v/>
      </c>
      <c r="Y8" s="344"/>
      <c r="Z8" s="344" t="str">
        <f>IF(D8="","",D8*F8*AN8)</f>
        <v/>
      </c>
      <c r="AA8" s="371"/>
      <c r="AD8" s="2" t="e">
        <f>D8*F8*J8*$V$4*AH8</f>
        <v>#VALUE!</v>
      </c>
      <c r="AE8" s="2" t="e">
        <f>D8*F8*J8*$X$4*AI8</f>
        <v>#VALUE!</v>
      </c>
      <c r="AG8" s="37" t="b">
        <v>0</v>
      </c>
      <c r="AH8" s="2" t="str">
        <f>IF(AG8=TRUE,"0.93",IF(ISERROR(AK8),"エラー",IF(AK8&gt;0.93,"0.93",AK8)))</f>
        <v>エラー</v>
      </c>
      <c r="AI8" s="2" t="str">
        <f>IF(AG8=TRUE,"0.51",IF(ISERROR(AL8),"エラー",IF(AL8&gt;0.72,"0.72",AL8)))</f>
        <v>エラー</v>
      </c>
      <c r="AK8" s="2" t="e">
        <f>IF(共通条件・結果!$AA$7="８地域",0.01*(16+19*(2*R8+T8)/P8),0.01*(16+24*(2*R8+T8)/P8))</f>
        <v>#DIV/0!</v>
      </c>
      <c r="AL8" s="2" t="e">
        <f>0.01*(5+20*(3*R8+T8)/P8)</f>
        <v>#DIV/0!</v>
      </c>
      <c r="AN8" s="2">
        <f>IF(AO8="FALSE",H8,IF(L8="風除室",1/((1/H8)+0.1),0.5*H8+0.5*(1/((1/H8)+AO8))))</f>
        <v>0</v>
      </c>
      <c r="AO8" s="19" t="str">
        <f t="shared" ref="AO8:AO19" si="1">IF(L8="","FALSE",IF(L8="雨戸",0.1,IF(L8="ｼｬｯﾀｰ",0.1,IF(L8="障子",0.18,IF(L8="風除室",0.1)))))</f>
        <v>FALSE</v>
      </c>
    </row>
    <row r="9" spans="2:41" s="2" customFormat="1" ht="21.95" customHeight="1">
      <c r="B9" s="230"/>
      <c r="C9" s="331"/>
      <c r="D9" s="332"/>
      <c r="E9" s="333"/>
      <c r="F9" s="333"/>
      <c r="G9" s="334"/>
      <c r="H9" s="236"/>
      <c r="I9" s="236"/>
      <c r="J9" s="236"/>
      <c r="K9" s="236"/>
      <c r="L9" s="281"/>
      <c r="M9" s="281"/>
      <c r="N9" s="323"/>
      <c r="O9" s="324"/>
      <c r="P9" s="325"/>
      <c r="Q9" s="326"/>
      <c r="R9" s="327"/>
      <c r="S9" s="328"/>
      <c r="T9" s="329"/>
      <c r="U9" s="325"/>
      <c r="V9" s="217" t="str">
        <f t="shared" ref="V9:V19" si="2">IF(D9="","",AD9)</f>
        <v/>
      </c>
      <c r="W9" s="217"/>
      <c r="X9" s="217" t="str">
        <f t="shared" si="0"/>
        <v/>
      </c>
      <c r="Y9" s="217"/>
      <c r="Z9" s="217" t="str">
        <f t="shared" ref="Z9:Z19" si="3">IF(D9="","",D9*F9*AN9)</f>
        <v/>
      </c>
      <c r="AA9" s="218"/>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IF(共通条件・結果!$AA$7="８地域",0.01*(16+19*(2*R9+T9)/P9),0.01*(16+24*(2*R9+T9)/P9))</f>
        <v>#DIV/0!</v>
      </c>
      <c r="AL9" s="2" t="e">
        <f t="shared" ref="AL9:AL19" si="8">0.01*(5+20*(3*R9+T9)/P9)</f>
        <v>#DIV/0!</v>
      </c>
      <c r="AN9" s="2">
        <f t="shared" ref="AN9:AN19" si="9">IF(AO9="FALSE",H9,IF(L9="風除室",1/((1/H9)+0.1),0.5*H9+0.5*(1/((1/H9)+AO9))))</f>
        <v>0</v>
      </c>
      <c r="AO9" s="19" t="str">
        <f t="shared" si="1"/>
        <v>FALSE</v>
      </c>
    </row>
    <row r="10" spans="2:41" s="2" customFormat="1" ht="21.95" customHeight="1">
      <c r="B10" s="230"/>
      <c r="C10" s="331"/>
      <c r="D10" s="332"/>
      <c r="E10" s="333"/>
      <c r="F10" s="333"/>
      <c r="G10" s="334"/>
      <c r="H10" s="236"/>
      <c r="I10" s="236"/>
      <c r="J10" s="236"/>
      <c r="K10" s="236"/>
      <c r="L10" s="281"/>
      <c r="M10" s="281"/>
      <c r="N10" s="323"/>
      <c r="O10" s="324"/>
      <c r="P10" s="326"/>
      <c r="Q10" s="335"/>
      <c r="R10" s="330"/>
      <c r="S10" s="335"/>
      <c r="T10" s="330"/>
      <c r="U10" s="329"/>
      <c r="V10" s="217" t="str">
        <f t="shared" si="2"/>
        <v/>
      </c>
      <c r="W10" s="217"/>
      <c r="X10" s="217" t="str">
        <f t="shared" si="0"/>
        <v/>
      </c>
      <c r="Y10" s="217"/>
      <c r="Z10" s="217" t="str">
        <f t="shared" si="3"/>
        <v/>
      </c>
      <c r="AA10" s="218"/>
      <c r="AD10" s="2" t="e">
        <f t="shared" si="4"/>
        <v>#VALUE!</v>
      </c>
      <c r="AE10" s="2" t="e">
        <f t="shared" si="5"/>
        <v>#VALUE!</v>
      </c>
      <c r="AG10" s="37" t="b">
        <v>0</v>
      </c>
      <c r="AH10" s="2" t="str">
        <f t="shared" si="6"/>
        <v>エラー</v>
      </c>
      <c r="AI10" s="2" t="str">
        <f t="shared" si="7"/>
        <v>エラー</v>
      </c>
      <c r="AK10" s="2" t="e">
        <f>IF(共通条件・結果!$AA$7="８地域",0.01*(16+19*(2*R10+T10)/P10),0.01*(16+24*(2*R10+T10)/P10))</f>
        <v>#DIV/0!</v>
      </c>
      <c r="AL10" s="2" t="e">
        <f t="shared" si="8"/>
        <v>#DIV/0!</v>
      </c>
      <c r="AN10" s="2">
        <f t="shared" si="9"/>
        <v>0</v>
      </c>
      <c r="AO10" s="19" t="str">
        <f t="shared" si="1"/>
        <v>FALSE</v>
      </c>
    </row>
    <row r="11" spans="2:41" s="2" customFormat="1" ht="21.95" customHeight="1">
      <c r="B11" s="230"/>
      <c r="C11" s="331"/>
      <c r="D11" s="332"/>
      <c r="E11" s="333"/>
      <c r="F11" s="333"/>
      <c r="G11" s="334"/>
      <c r="H11" s="236"/>
      <c r="I11" s="236"/>
      <c r="J11" s="236"/>
      <c r="K11" s="236"/>
      <c r="L11" s="281"/>
      <c r="M11" s="281"/>
      <c r="N11" s="323"/>
      <c r="O11" s="324"/>
      <c r="P11" s="326"/>
      <c r="Q11" s="335"/>
      <c r="R11" s="330"/>
      <c r="S11" s="335"/>
      <c r="T11" s="330"/>
      <c r="U11" s="329"/>
      <c r="V11" s="217" t="str">
        <f t="shared" si="2"/>
        <v/>
      </c>
      <c r="W11" s="217"/>
      <c r="X11" s="217" t="str">
        <f t="shared" si="0"/>
        <v/>
      </c>
      <c r="Y11" s="217"/>
      <c r="Z11" s="217" t="str">
        <f t="shared" si="3"/>
        <v/>
      </c>
      <c r="AA11" s="218"/>
      <c r="AD11" s="2" t="e">
        <f t="shared" si="4"/>
        <v>#VALUE!</v>
      </c>
      <c r="AE11" s="2" t="e">
        <f t="shared" si="5"/>
        <v>#VALUE!</v>
      </c>
      <c r="AG11" s="37" t="b">
        <v>0</v>
      </c>
      <c r="AH11" s="2" t="str">
        <f t="shared" si="6"/>
        <v>エラー</v>
      </c>
      <c r="AI11" s="2" t="str">
        <f t="shared" si="7"/>
        <v>エラー</v>
      </c>
      <c r="AK11" s="2" t="e">
        <f>IF(共通条件・結果!$AA$7="８地域",0.01*(16+19*(2*R11+T11)/P11),0.01*(16+24*(2*R11+T11)/P11))</f>
        <v>#DIV/0!</v>
      </c>
      <c r="AL11" s="2" t="e">
        <f t="shared" si="8"/>
        <v>#DIV/0!</v>
      </c>
      <c r="AN11" s="2">
        <f t="shared" si="9"/>
        <v>0</v>
      </c>
      <c r="AO11" s="19" t="str">
        <f t="shared" si="1"/>
        <v>FALSE</v>
      </c>
    </row>
    <row r="12" spans="2:41" s="2" customFormat="1" ht="21.95" customHeight="1">
      <c r="B12" s="230"/>
      <c r="C12" s="231"/>
      <c r="D12" s="232"/>
      <c r="E12" s="285"/>
      <c r="F12" s="286"/>
      <c r="G12" s="233"/>
      <c r="H12" s="232"/>
      <c r="I12" s="233"/>
      <c r="J12" s="232"/>
      <c r="K12" s="233"/>
      <c r="L12" s="295"/>
      <c r="M12" s="296"/>
      <c r="N12" s="323"/>
      <c r="O12" s="336"/>
      <c r="P12" s="326"/>
      <c r="Q12" s="335"/>
      <c r="R12" s="330"/>
      <c r="S12" s="335"/>
      <c r="T12" s="330"/>
      <c r="U12" s="329"/>
      <c r="V12" s="215" t="str">
        <f t="shared" si="2"/>
        <v/>
      </c>
      <c r="W12" s="216"/>
      <c r="X12" s="215" t="str">
        <f t="shared" si="0"/>
        <v/>
      </c>
      <c r="Y12" s="216"/>
      <c r="Z12" s="215" t="str">
        <f t="shared" si="3"/>
        <v/>
      </c>
      <c r="AA12" s="238"/>
      <c r="AD12" s="2" t="e">
        <f t="shared" si="4"/>
        <v>#VALUE!</v>
      </c>
      <c r="AE12" s="2" t="e">
        <f t="shared" si="5"/>
        <v>#VALUE!</v>
      </c>
      <c r="AG12" s="37" t="b">
        <v>0</v>
      </c>
      <c r="AH12" s="2" t="str">
        <f t="shared" si="6"/>
        <v>エラー</v>
      </c>
      <c r="AI12" s="2" t="str">
        <f t="shared" si="7"/>
        <v>エラー</v>
      </c>
      <c r="AK12" s="2" t="e">
        <f>IF(共通条件・結果!$AA$7="８地域",0.01*(16+19*(2*R12+T12)/P12),0.01*(16+24*(2*R12+T12)/P12))</f>
        <v>#DIV/0!</v>
      </c>
      <c r="AL12" s="2" t="e">
        <f t="shared" si="8"/>
        <v>#DIV/0!</v>
      </c>
      <c r="AN12" s="2">
        <f t="shared" si="9"/>
        <v>0</v>
      </c>
      <c r="AO12" s="19" t="str">
        <f t="shared" si="1"/>
        <v>FALSE</v>
      </c>
    </row>
    <row r="13" spans="2:41" s="2" customFormat="1" ht="21.95" customHeight="1">
      <c r="B13" s="230"/>
      <c r="C13" s="231"/>
      <c r="D13" s="232"/>
      <c r="E13" s="285"/>
      <c r="F13" s="286"/>
      <c r="G13" s="233"/>
      <c r="H13" s="232"/>
      <c r="I13" s="233"/>
      <c r="J13" s="232"/>
      <c r="K13" s="233"/>
      <c r="L13" s="295"/>
      <c r="M13" s="296"/>
      <c r="N13" s="323"/>
      <c r="O13" s="336"/>
      <c r="P13" s="326"/>
      <c r="Q13" s="335"/>
      <c r="R13" s="330"/>
      <c r="S13" s="335"/>
      <c r="T13" s="330"/>
      <c r="U13" s="329"/>
      <c r="V13" s="215" t="str">
        <f t="shared" si="2"/>
        <v/>
      </c>
      <c r="W13" s="216"/>
      <c r="X13" s="215" t="str">
        <f t="shared" si="0"/>
        <v/>
      </c>
      <c r="Y13" s="216"/>
      <c r="Z13" s="215" t="str">
        <f t="shared" si="3"/>
        <v/>
      </c>
      <c r="AA13" s="238"/>
      <c r="AD13" s="2" t="e">
        <f t="shared" si="4"/>
        <v>#VALUE!</v>
      </c>
      <c r="AE13" s="2" t="e">
        <f t="shared" si="5"/>
        <v>#VALUE!</v>
      </c>
      <c r="AG13" s="37" t="b">
        <v>0</v>
      </c>
      <c r="AH13" s="2" t="str">
        <f t="shared" si="6"/>
        <v>エラー</v>
      </c>
      <c r="AI13" s="2" t="str">
        <f t="shared" si="7"/>
        <v>エラー</v>
      </c>
      <c r="AK13" s="2" t="e">
        <f>IF(共通条件・結果!$AA$7="８地域",0.01*(16+19*(2*R13+T13)/P13),0.01*(16+24*(2*R13+T13)/P13))</f>
        <v>#DIV/0!</v>
      </c>
      <c r="AL13" s="2" t="e">
        <f t="shared" si="8"/>
        <v>#DIV/0!</v>
      </c>
      <c r="AN13" s="2">
        <f t="shared" si="9"/>
        <v>0</v>
      </c>
      <c r="AO13" s="19" t="str">
        <f t="shared" si="1"/>
        <v>FALSE</v>
      </c>
    </row>
    <row r="14" spans="2:41" s="2" customFormat="1" ht="21.95" customHeight="1">
      <c r="B14" s="230"/>
      <c r="C14" s="331"/>
      <c r="D14" s="332"/>
      <c r="E14" s="333"/>
      <c r="F14" s="333"/>
      <c r="G14" s="334"/>
      <c r="H14" s="236"/>
      <c r="I14" s="236"/>
      <c r="J14" s="236"/>
      <c r="K14" s="236"/>
      <c r="L14" s="281"/>
      <c r="M14" s="281"/>
      <c r="N14" s="323"/>
      <c r="O14" s="324"/>
      <c r="P14" s="326"/>
      <c r="Q14" s="335"/>
      <c r="R14" s="330"/>
      <c r="S14" s="335"/>
      <c r="T14" s="330"/>
      <c r="U14" s="329"/>
      <c r="V14" s="217" t="str">
        <f t="shared" si="2"/>
        <v/>
      </c>
      <c r="W14" s="217"/>
      <c r="X14" s="217" t="str">
        <f t="shared" si="0"/>
        <v/>
      </c>
      <c r="Y14" s="217"/>
      <c r="Z14" s="217" t="str">
        <f t="shared" si="3"/>
        <v/>
      </c>
      <c r="AA14" s="218"/>
      <c r="AD14" s="2" t="e">
        <f t="shared" si="4"/>
        <v>#VALUE!</v>
      </c>
      <c r="AE14" s="2" t="e">
        <f t="shared" si="5"/>
        <v>#VALUE!</v>
      </c>
      <c r="AG14" s="37" t="b">
        <v>0</v>
      </c>
      <c r="AH14" s="2" t="str">
        <f t="shared" si="6"/>
        <v>エラー</v>
      </c>
      <c r="AI14" s="2" t="str">
        <f t="shared" si="7"/>
        <v>エラー</v>
      </c>
      <c r="AK14" s="2" t="e">
        <f>IF(共通条件・結果!$AA$7="８地域",0.01*(16+19*(2*R14+T14)/P14),0.01*(16+24*(2*R14+T14)/P14))</f>
        <v>#DIV/0!</v>
      </c>
      <c r="AL14" s="2" t="e">
        <f t="shared" si="8"/>
        <v>#DIV/0!</v>
      </c>
      <c r="AN14" s="2">
        <f t="shared" si="9"/>
        <v>0</v>
      </c>
      <c r="AO14" s="19" t="str">
        <f t="shared" si="1"/>
        <v>FALSE</v>
      </c>
    </row>
    <row r="15" spans="2:41" s="2" customFormat="1" ht="21.95" customHeight="1">
      <c r="B15" s="230"/>
      <c r="C15" s="331"/>
      <c r="D15" s="332"/>
      <c r="E15" s="333"/>
      <c r="F15" s="333"/>
      <c r="G15" s="334"/>
      <c r="H15" s="236"/>
      <c r="I15" s="236"/>
      <c r="J15" s="236"/>
      <c r="K15" s="236"/>
      <c r="L15" s="281"/>
      <c r="M15" s="281"/>
      <c r="N15" s="323"/>
      <c r="O15" s="324"/>
      <c r="P15" s="326"/>
      <c r="Q15" s="335"/>
      <c r="R15" s="330"/>
      <c r="S15" s="335"/>
      <c r="T15" s="330"/>
      <c r="U15" s="329"/>
      <c r="V15" s="215" t="str">
        <f t="shared" si="2"/>
        <v/>
      </c>
      <c r="W15" s="216"/>
      <c r="X15" s="217" t="str">
        <f t="shared" si="0"/>
        <v/>
      </c>
      <c r="Y15" s="217"/>
      <c r="Z15" s="217" t="str">
        <f t="shared" si="3"/>
        <v/>
      </c>
      <c r="AA15" s="218"/>
      <c r="AD15" s="2" t="e">
        <f t="shared" si="4"/>
        <v>#VALUE!</v>
      </c>
      <c r="AE15" s="2" t="e">
        <f t="shared" si="5"/>
        <v>#VALUE!</v>
      </c>
      <c r="AG15" s="37" t="b">
        <v>0</v>
      </c>
      <c r="AH15" s="2" t="str">
        <f t="shared" si="6"/>
        <v>エラー</v>
      </c>
      <c r="AI15" s="2" t="str">
        <f t="shared" si="7"/>
        <v>エラー</v>
      </c>
      <c r="AK15" s="2" t="e">
        <f>IF(共通条件・結果!$AA$7="８地域",0.01*(16+19*(2*R15+T15)/P15),0.01*(16+24*(2*R15+T15)/P15))</f>
        <v>#DIV/0!</v>
      </c>
      <c r="AL15" s="2" t="e">
        <f t="shared" si="8"/>
        <v>#DIV/0!</v>
      </c>
      <c r="AN15" s="2">
        <f t="shared" si="9"/>
        <v>0</v>
      </c>
      <c r="AO15" s="19" t="str">
        <f t="shared" si="1"/>
        <v>FALSE</v>
      </c>
    </row>
    <row r="16" spans="2:41" s="2" customFormat="1" ht="21.95" customHeight="1">
      <c r="B16" s="230"/>
      <c r="C16" s="331"/>
      <c r="D16" s="332"/>
      <c r="E16" s="333"/>
      <c r="F16" s="333"/>
      <c r="G16" s="334"/>
      <c r="H16" s="236"/>
      <c r="I16" s="236"/>
      <c r="J16" s="236"/>
      <c r="K16" s="236"/>
      <c r="L16" s="281"/>
      <c r="M16" s="281"/>
      <c r="N16" s="323"/>
      <c r="O16" s="324"/>
      <c r="P16" s="326"/>
      <c r="Q16" s="335"/>
      <c r="R16" s="330"/>
      <c r="S16" s="335"/>
      <c r="T16" s="330"/>
      <c r="U16" s="329"/>
      <c r="V16" s="215" t="str">
        <f t="shared" si="2"/>
        <v/>
      </c>
      <c r="W16" s="216"/>
      <c r="X16" s="217" t="str">
        <f t="shared" si="0"/>
        <v/>
      </c>
      <c r="Y16" s="217"/>
      <c r="Z16" s="217" t="str">
        <f t="shared" si="3"/>
        <v/>
      </c>
      <c r="AA16" s="218"/>
      <c r="AD16" s="2" t="e">
        <f t="shared" si="4"/>
        <v>#VALUE!</v>
      </c>
      <c r="AE16" s="2" t="e">
        <f t="shared" si="5"/>
        <v>#VALUE!</v>
      </c>
      <c r="AG16" s="37" t="b">
        <v>0</v>
      </c>
      <c r="AH16" s="2" t="str">
        <f t="shared" si="6"/>
        <v>エラー</v>
      </c>
      <c r="AI16" s="2" t="str">
        <f t="shared" si="7"/>
        <v>エラー</v>
      </c>
      <c r="AK16" s="2" t="e">
        <f>IF(共通条件・結果!$AA$7="８地域",0.01*(16+19*(2*R16+T16)/P16),0.01*(16+24*(2*R16+T16)/P16))</f>
        <v>#DIV/0!</v>
      </c>
      <c r="AL16" s="2" t="e">
        <f t="shared" si="8"/>
        <v>#DIV/0!</v>
      </c>
      <c r="AN16" s="2">
        <f t="shared" si="9"/>
        <v>0</v>
      </c>
      <c r="AO16" s="19" t="str">
        <f t="shared" si="1"/>
        <v>FALSE</v>
      </c>
    </row>
    <row r="17" spans="2:41" s="2" customFormat="1" ht="21.95" customHeight="1">
      <c r="B17" s="230"/>
      <c r="C17" s="331"/>
      <c r="D17" s="332"/>
      <c r="E17" s="333"/>
      <c r="F17" s="333"/>
      <c r="G17" s="334"/>
      <c r="H17" s="236"/>
      <c r="I17" s="236"/>
      <c r="J17" s="236"/>
      <c r="K17" s="236"/>
      <c r="L17" s="281"/>
      <c r="M17" s="281"/>
      <c r="N17" s="323"/>
      <c r="O17" s="324"/>
      <c r="P17" s="325"/>
      <c r="Q17" s="326"/>
      <c r="R17" s="330"/>
      <c r="S17" s="335"/>
      <c r="T17" s="330"/>
      <c r="U17" s="329"/>
      <c r="V17" s="215" t="str">
        <f t="shared" si="2"/>
        <v/>
      </c>
      <c r="W17" s="216"/>
      <c r="X17" s="217" t="str">
        <f t="shared" si="0"/>
        <v/>
      </c>
      <c r="Y17" s="217"/>
      <c r="Z17" s="217" t="str">
        <f t="shared" si="3"/>
        <v/>
      </c>
      <c r="AA17" s="218"/>
      <c r="AD17" s="2" t="e">
        <f t="shared" si="4"/>
        <v>#VALUE!</v>
      </c>
      <c r="AE17" s="2" t="e">
        <f t="shared" si="5"/>
        <v>#VALUE!</v>
      </c>
      <c r="AG17" s="37" t="b">
        <v>0</v>
      </c>
      <c r="AH17" s="2" t="str">
        <f t="shared" si="6"/>
        <v>エラー</v>
      </c>
      <c r="AI17" s="2" t="str">
        <f t="shared" si="7"/>
        <v>エラー</v>
      </c>
      <c r="AK17" s="2" t="e">
        <f>IF(共通条件・結果!$AA$7="８地域",0.01*(16+19*(2*R17+T17)/P17),0.01*(16+24*(2*R17+T17)/P17))</f>
        <v>#DIV/0!</v>
      </c>
      <c r="AL17" s="2" t="e">
        <f t="shared" si="8"/>
        <v>#DIV/0!</v>
      </c>
      <c r="AN17" s="2">
        <f t="shared" si="9"/>
        <v>0</v>
      </c>
      <c r="AO17" s="19" t="str">
        <f t="shared" si="1"/>
        <v>FALSE</v>
      </c>
    </row>
    <row r="18" spans="2:41" s="2" customFormat="1" ht="21.95" customHeight="1">
      <c r="B18" s="230"/>
      <c r="C18" s="331"/>
      <c r="D18" s="332"/>
      <c r="E18" s="333"/>
      <c r="F18" s="333"/>
      <c r="G18" s="334"/>
      <c r="H18" s="236"/>
      <c r="I18" s="236"/>
      <c r="J18" s="236"/>
      <c r="K18" s="236"/>
      <c r="L18" s="281"/>
      <c r="M18" s="281"/>
      <c r="N18" s="323"/>
      <c r="O18" s="324"/>
      <c r="P18" s="325"/>
      <c r="Q18" s="326"/>
      <c r="R18" s="327"/>
      <c r="S18" s="328"/>
      <c r="T18" s="329"/>
      <c r="U18" s="325"/>
      <c r="V18" s="215" t="str">
        <f t="shared" si="2"/>
        <v/>
      </c>
      <c r="W18" s="216"/>
      <c r="X18" s="217" t="str">
        <f t="shared" si="0"/>
        <v/>
      </c>
      <c r="Y18" s="217"/>
      <c r="Z18" s="217" t="str">
        <f t="shared" si="3"/>
        <v/>
      </c>
      <c r="AA18" s="218"/>
      <c r="AD18" s="2" t="e">
        <f t="shared" si="4"/>
        <v>#VALUE!</v>
      </c>
      <c r="AE18" s="2" t="e">
        <f t="shared" si="5"/>
        <v>#VALUE!</v>
      </c>
      <c r="AG18" s="37" t="b">
        <v>0</v>
      </c>
      <c r="AH18" s="2" t="str">
        <f t="shared" si="6"/>
        <v>エラー</v>
      </c>
      <c r="AI18" s="2" t="str">
        <f t="shared" si="7"/>
        <v>エラー</v>
      </c>
      <c r="AK18" s="2" t="e">
        <f>IF(共通条件・結果!$AA$7="８地域",0.01*(16+19*(2*R18+T18)/P18),0.01*(16+24*(2*R18+T18)/P18))</f>
        <v>#DIV/0!</v>
      </c>
      <c r="AL18" s="2" t="e">
        <f t="shared" si="8"/>
        <v>#DIV/0!</v>
      </c>
      <c r="AN18" s="2">
        <f t="shared" si="9"/>
        <v>0</v>
      </c>
      <c r="AO18" s="19" t="str">
        <f t="shared" si="1"/>
        <v>FALSE</v>
      </c>
    </row>
    <row r="19" spans="2:41" s="2" customFormat="1" ht="21.95" customHeight="1" thickBot="1">
      <c r="B19" s="219"/>
      <c r="C19" s="316"/>
      <c r="D19" s="277"/>
      <c r="E19" s="278"/>
      <c r="F19" s="278"/>
      <c r="G19" s="279"/>
      <c r="H19" s="280"/>
      <c r="I19" s="280"/>
      <c r="J19" s="280"/>
      <c r="K19" s="280"/>
      <c r="L19" s="317"/>
      <c r="M19" s="317"/>
      <c r="N19" s="318"/>
      <c r="O19" s="319"/>
      <c r="P19" s="315"/>
      <c r="Q19" s="320"/>
      <c r="R19" s="321"/>
      <c r="S19" s="322"/>
      <c r="T19" s="314"/>
      <c r="U19" s="315"/>
      <c r="V19" s="215" t="str">
        <f t="shared" si="2"/>
        <v/>
      </c>
      <c r="W19" s="216"/>
      <c r="X19" s="217" t="str">
        <f t="shared" si="0"/>
        <v/>
      </c>
      <c r="Y19" s="217"/>
      <c r="Z19" s="226" t="str">
        <f t="shared" si="3"/>
        <v/>
      </c>
      <c r="AA19" s="229"/>
      <c r="AD19" s="2" t="e">
        <f t="shared" si="4"/>
        <v>#VALUE!</v>
      </c>
      <c r="AE19" s="2" t="e">
        <f t="shared" si="5"/>
        <v>#VALUE!</v>
      </c>
      <c r="AG19" s="37" t="b">
        <v>0</v>
      </c>
      <c r="AH19" s="2" t="str">
        <f t="shared" si="6"/>
        <v>エラー</v>
      </c>
      <c r="AI19" s="2" t="str">
        <f t="shared" si="7"/>
        <v>エラー</v>
      </c>
      <c r="AK19" s="2" t="e">
        <f>IF(共通条件・結果!$AA$7="８地域",0.01*(16+19*(2*R19+T19)/P19),0.01*(16+24*(2*R19+T19)/P19))</f>
        <v>#DIV/0!</v>
      </c>
      <c r="AL19" s="2" t="e">
        <f t="shared" si="8"/>
        <v>#DIV/0!</v>
      </c>
      <c r="AN19" s="2">
        <f t="shared" si="9"/>
        <v>0</v>
      </c>
      <c r="AO19" s="19" t="str">
        <f t="shared" si="1"/>
        <v>FALSE</v>
      </c>
    </row>
    <row r="20" spans="2:41" s="2" customFormat="1" ht="21.95" customHeight="1" thickBot="1">
      <c r="B20" s="200" t="s">
        <v>206</v>
      </c>
      <c r="C20" s="201"/>
      <c r="D20" s="201"/>
      <c r="E20" s="201"/>
      <c r="F20" s="201"/>
      <c r="G20" s="201"/>
      <c r="H20" s="201"/>
      <c r="I20" s="201"/>
      <c r="J20" s="201"/>
      <c r="K20" s="201"/>
      <c r="L20" s="201"/>
      <c r="M20" s="201"/>
      <c r="N20" s="201"/>
      <c r="O20" s="201"/>
      <c r="P20" s="201"/>
      <c r="Q20" s="201"/>
      <c r="R20" s="201"/>
      <c r="S20" s="201"/>
      <c r="T20" s="201"/>
      <c r="U20" s="201"/>
      <c r="V20" s="202">
        <f>SUM(V8:W19)</f>
        <v>0</v>
      </c>
      <c r="W20" s="202"/>
      <c r="X20" s="202">
        <f>IF(共通条件・結果!AA7="８地域","-",SUM(X8:Y19))</f>
        <v>0</v>
      </c>
      <c r="Y20" s="202"/>
      <c r="Z20" s="202">
        <f>SUM(Z8:AA19)</f>
        <v>0</v>
      </c>
      <c r="AA20" s="203"/>
    </row>
    <row r="21" spans="2:41" s="2" customFormat="1" ht="9.9499999999999993" customHeight="1">
      <c r="AN21" s="287"/>
      <c r="AO21" s="287"/>
    </row>
    <row r="22" spans="2:41" s="2" customFormat="1" ht="21.95" customHeight="1" thickBot="1">
      <c r="E22" s="4"/>
      <c r="J22" s="4" t="s">
        <v>13</v>
      </c>
    </row>
    <row r="23" spans="2:41" s="2" customFormat="1" ht="21.95" customHeight="1">
      <c r="J23" s="248" t="s">
        <v>14</v>
      </c>
      <c r="K23" s="195"/>
      <c r="L23" s="195"/>
      <c r="M23" s="249"/>
      <c r="N23" s="302" t="s">
        <v>140</v>
      </c>
      <c r="O23" s="195"/>
      <c r="P23" s="195"/>
      <c r="Q23" s="249"/>
      <c r="R23" s="266" t="s">
        <v>141</v>
      </c>
      <c r="S23" s="178"/>
      <c r="T23" s="306" t="s">
        <v>9</v>
      </c>
      <c r="U23" s="307"/>
      <c r="V23" s="254" t="s">
        <v>145</v>
      </c>
      <c r="W23" s="255"/>
      <c r="X23" s="254" t="s">
        <v>143</v>
      </c>
      <c r="Y23" s="255"/>
      <c r="Z23" s="254" t="s">
        <v>110</v>
      </c>
      <c r="AA23" s="196"/>
      <c r="AN23" s="287" t="s">
        <v>58</v>
      </c>
      <c r="AO23" s="287"/>
    </row>
    <row r="24" spans="2:41" s="2" customFormat="1" ht="21.95" customHeight="1">
      <c r="J24" s="250"/>
      <c r="K24" s="287"/>
      <c r="L24" s="287"/>
      <c r="M24" s="251"/>
      <c r="N24" s="303"/>
      <c r="O24" s="304"/>
      <c r="P24" s="304"/>
      <c r="Q24" s="305"/>
      <c r="R24" s="269"/>
      <c r="S24" s="267"/>
      <c r="T24" s="308"/>
      <c r="U24" s="309"/>
      <c r="V24" s="256"/>
      <c r="W24" s="257"/>
      <c r="X24" s="256"/>
      <c r="Y24" s="257"/>
      <c r="Z24" s="298"/>
      <c r="AA24" s="299"/>
      <c r="AN24" s="19"/>
      <c r="AO24" s="19"/>
    </row>
    <row r="25" spans="2:41" s="2" customFormat="1" ht="21.95" customHeight="1" thickBot="1">
      <c r="J25" s="252"/>
      <c r="K25" s="297"/>
      <c r="L25" s="297"/>
      <c r="M25" s="253"/>
      <c r="N25" s="311" t="s">
        <v>8</v>
      </c>
      <c r="O25" s="312"/>
      <c r="P25" s="313" t="s">
        <v>7</v>
      </c>
      <c r="Q25" s="268"/>
      <c r="R25" s="268"/>
      <c r="S25" s="268"/>
      <c r="T25" s="310"/>
      <c r="U25" s="310"/>
      <c r="V25" s="258"/>
      <c r="W25" s="259"/>
      <c r="X25" s="258"/>
      <c r="Y25" s="259"/>
      <c r="Z25" s="300"/>
      <c r="AA25" s="301"/>
      <c r="AN25" s="45" t="s">
        <v>56</v>
      </c>
      <c r="AO25" s="2" t="s">
        <v>54</v>
      </c>
    </row>
    <row r="26" spans="2:41" s="2" customFormat="1" ht="21.95" customHeight="1">
      <c r="D26" s="56"/>
      <c r="E26" s="56"/>
      <c r="J26" s="288"/>
      <c r="K26" s="289"/>
      <c r="L26" s="289"/>
      <c r="M26" s="290"/>
      <c r="N26" s="291"/>
      <c r="O26" s="292"/>
      <c r="P26" s="292"/>
      <c r="Q26" s="293"/>
      <c r="R26" s="245"/>
      <c r="S26" s="245"/>
      <c r="T26" s="294"/>
      <c r="U26" s="294"/>
      <c r="V26" s="246" t="str">
        <f>IF(N26="","",N26*P26*R26*0.034*$V$4)</f>
        <v/>
      </c>
      <c r="W26" s="246"/>
      <c r="X26" s="246" t="str">
        <f>IF(N26="","",IF(ISERROR(N26*P26*R26*0.034*$X$4),"-",N26*P26*R26*0.034*$X$4))</f>
        <v/>
      </c>
      <c r="Y26" s="246"/>
      <c r="Z26" s="246" t="str">
        <f>IF(N26="","",N26*P26*AN26)</f>
        <v/>
      </c>
      <c r="AA26" s="247"/>
      <c r="AD26" s="37"/>
      <c r="AN26" s="2">
        <f>IF(AO26="FALSE",R26,IF(T26="風除室",1/((1/R26)+0.1),0.5*R26+0.5*(1/((1/R26)+AO26))))</f>
        <v>0</v>
      </c>
      <c r="AO26" s="19" t="str">
        <f>IF(T26="","FALSE",IF(T26="雨戸",0.1,IF(T26="ｼｬｯﾀｰ",0.1,IF(T26="障子",0.18,IF(T26="風除室",0.1)))))</f>
        <v>FALSE</v>
      </c>
    </row>
    <row r="27" spans="2:41" s="2" customFormat="1" ht="21.95" customHeight="1">
      <c r="D27" s="56"/>
      <c r="E27" s="56"/>
      <c r="J27" s="282"/>
      <c r="K27" s="283"/>
      <c r="L27" s="283"/>
      <c r="M27" s="284"/>
      <c r="N27" s="232"/>
      <c r="O27" s="285"/>
      <c r="P27" s="286"/>
      <c r="Q27" s="233"/>
      <c r="R27" s="232"/>
      <c r="S27" s="233"/>
      <c r="T27" s="295"/>
      <c r="U27" s="296"/>
      <c r="V27" s="215" t="str">
        <f>IF(N27="","",N27*P27*R27*0.034*$V$4)</f>
        <v/>
      </c>
      <c r="W27" s="216"/>
      <c r="X27" s="215" t="str">
        <f>IF(N27="","",IF(ISERROR(N27*P27*R27*0.034*$X$4),"-",N27*P27*R27*0.034*$X$4))</f>
        <v/>
      </c>
      <c r="Y27" s="216"/>
      <c r="Z27" s="215" t="str">
        <f>IF(N27="","",N27*P27*AN27)</f>
        <v/>
      </c>
      <c r="AA27" s="238"/>
      <c r="AD27" s="37"/>
      <c r="AN27" s="2">
        <f>IF(AO27="FALSE",R27,IF(T27="風除室",1/((1/R27)+0.1),0.5*R27+0.5*(1/((1/R27)+AO27))))</f>
        <v>0</v>
      </c>
      <c r="AO27" s="19" t="str">
        <f>IF(T27="","FALSE",IF(T27="雨戸",0.1,IF(T27="ｼｬｯﾀｰ",0.1,IF(T27="障子",0.18,IF(T27="風除室",0.1)))))</f>
        <v>FALSE</v>
      </c>
    </row>
    <row r="28" spans="2:41" s="2" customFormat="1" ht="21.95" customHeight="1" thickBot="1">
      <c r="D28" s="56"/>
      <c r="E28" s="56"/>
      <c r="J28" s="274"/>
      <c r="K28" s="275"/>
      <c r="L28" s="275"/>
      <c r="M28" s="276"/>
      <c r="N28" s="277"/>
      <c r="O28" s="278"/>
      <c r="P28" s="278"/>
      <c r="Q28" s="279"/>
      <c r="R28" s="280"/>
      <c r="S28" s="280"/>
      <c r="T28" s="281"/>
      <c r="U28" s="281"/>
      <c r="V28" s="270" t="str">
        <f>IF(N28="","",N28*P28*R28*0.034*$V$4)</f>
        <v/>
      </c>
      <c r="W28" s="270"/>
      <c r="X28" s="270" t="str">
        <f>IF(N28="","",IF(ISERROR(N28*P28*R28*0.034*$X$4),"-",N28*P28*R28*0.034*$X$4))</f>
        <v/>
      </c>
      <c r="Y28" s="270"/>
      <c r="Z28" s="270" t="str">
        <f>IF(N28="","",N28*P28*AN28)</f>
        <v/>
      </c>
      <c r="AA28" s="271"/>
      <c r="AD28" s="37"/>
      <c r="AN28" s="2">
        <f>IF(AO28="FALSE",R28,IF(T28="風除室",1/((1/R28)+0.1),0.5*R28+0.5*(1/((1/R28)+AO28))))</f>
        <v>0</v>
      </c>
      <c r="AO28" s="19" t="str">
        <f>IF(T28="","FALSE",IF(T28="雨戸",0.1,IF(T28="ｼｬｯﾀｰ",0.1,IF(T28="障子",0.18,IF(T28="風除室",0.1)))))</f>
        <v>FALSE</v>
      </c>
    </row>
    <row r="29" spans="2:41" s="2" customFormat="1" ht="21.95" customHeight="1" thickBot="1">
      <c r="J29" s="200" t="s">
        <v>207</v>
      </c>
      <c r="K29" s="201"/>
      <c r="L29" s="201"/>
      <c r="M29" s="201"/>
      <c r="N29" s="201"/>
      <c r="O29" s="201"/>
      <c r="P29" s="201"/>
      <c r="Q29" s="201"/>
      <c r="R29" s="201"/>
      <c r="S29" s="201"/>
      <c r="T29" s="201"/>
      <c r="U29" s="348"/>
      <c r="V29" s="202">
        <f>SUM(V26:W28)</f>
        <v>0</v>
      </c>
      <c r="W29" s="202"/>
      <c r="X29" s="202">
        <f>SUM(X26:Y28)</f>
        <v>0</v>
      </c>
      <c r="Y29" s="202"/>
      <c r="Z29" s="202">
        <f>SUM(Z26:AA28)</f>
        <v>0</v>
      </c>
      <c r="AA29" s="203"/>
      <c r="AO29" s="19"/>
    </row>
    <row r="30" spans="2:41" s="2" customFormat="1" ht="9.9499999999999993" customHeight="1">
      <c r="J30" s="23"/>
      <c r="K30" s="23"/>
      <c r="L30" s="23"/>
      <c r="M30" s="23"/>
      <c r="N30" s="23"/>
      <c r="O30" s="23"/>
      <c r="P30" s="23"/>
      <c r="Q30" s="23"/>
      <c r="R30" s="23"/>
      <c r="S30" s="23"/>
      <c r="T30" s="23"/>
      <c r="U30" s="23"/>
      <c r="V30" s="46"/>
      <c r="W30" s="46"/>
      <c r="X30" s="46"/>
      <c r="Y30" s="46"/>
      <c r="Z30" s="46"/>
      <c r="AA30" s="46"/>
      <c r="AO30" s="19"/>
    </row>
    <row r="31" spans="2:41" s="2" customFormat="1" ht="21.95" customHeight="1" thickBot="1">
      <c r="J31" s="4" t="s">
        <v>15</v>
      </c>
      <c r="K31" s="4"/>
      <c r="L31" s="4"/>
      <c r="AO31" s="19"/>
    </row>
    <row r="32" spans="2:41" s="2" customFormat="1" ht="21.95" customHeight="1">
      <c r="J32" s="248" t="s">
        <v>0</v>
      </c>
      <c r="K32" s="249"/>
      <c r="L32" s="254" t="s">
        <v>146</v>
      </c>
      <c r="M32" s="255"/>
      <c r="N32" s="254" t="s">
        <v>147</v>
      </c>
      <c r="O32" s="255"/>
      <c r="P32" s="260" t="s">
        <v>148</v>
      </c>
      <c r="Q32" s="261"/>
      <c r="R32" s="266" t="s">
        <v>141</v>
      </c>
      <c r="S32" s="178"/>
      <c r="T32" s="266" t="s">
        <v>145</v>
      </c>
      <c r="U32" s="178"/>
      <c r="V32" s="266" t="s">
        <v>143</v>
      </c>
      <c r="W32" s="178"/>
      <c r="X32" s="266" t="s">
        <v>110</v>
      </c>
      <c r="Y32" s="179"/>
      <c r="AO32" s="19"/>
    </row>
    <row r="33" spans="2:41" s="2" customFormat="1" ht="21.95" customHeight="1">
      <c r="J33" s="250"/>
      <c r="K33" s="251"/>
      <c r="L33" s="256"/>
      <c r="M33" s="257"/>
      <c r="N33" s="256"/>
      <c r="O33" s="257"/>
      <c r="P33" s="262"/>
      <c r="Q33" s="263"/>
      <c r="R33" s="267"/>
      <c r="S33" s="267"/>
      <c r="T33" s="269"/>
      <c r="U33" s="267"/>
      <c r="V33" s="269"/>
      <c r="W33" s="267"/>
      <c r="X33" s="267"/>
      <c r="Y33" s="272"/>
      <c r="AO33" s="19"/>
    </row>
    <row r="34" spans="2:41" s="2" customFormat="1" ht="21.95" customHeight="1" thickBot="1">
      <c r="J34" s="252"/>
      <c r="K34" s="253"/>
      <c r="L34" s="258"/>
      <c r="M34" s="259"/>
      <c r="N34" s="258"/>
      <c r="O34" s="259"/>
      <c r="P34" s="264"/>
      <c r="Q34" s="265"/>
      <c r="R34" s="268"/>
      <c r="S34" s="268"/>
      <c r="T34" s="268"/>
      <c r="U34" s="268"/>
      <c r="V34" s="268"/>
      <c r="W34" s="268"/>
      <c r="X34" s="268"/>
      <c r="Y34" s="273"/>
    </row>
    <row r="35" spans="2:41" s="2" customFormat="1" ht="21.95" customHeight="1">
      <c r="J35" s="239"/>
      <c r="K35" s="240"/>
      <c r="L35" s="241"/>
      <c r="M35" s="242"/>
      <c r="N35" s="241"/>
      <c r="O35" s="242"/>
      <c r="P35" s="243" t="str">
        <f>IF(L35="","",L35-N35)</f>
        <v/>
      </c>
      <c r="Q35" s="244"/>
      <c r="R35" s="245"/>
      <c r="S35" s="245"/>
      <c r="T35" s="217" t="str">
        <f>IF(P35="","",P35*R35*0.034*$V$4)</f>
        <v/>
      </c>
      <c r="U35" s="217"/>
      <c r="V35" s="215" t="str">
        <f>IF(P35="","",IF(ISERROR(P35*R35*0.034*$X$4),"-",P35*R35*0.034*$X$4))</f>
        <v/>
      </c>
      <c r="W35" s="216"/>
      <c r="X35" s="246" t="str">
        <f>IF(R35="","",R35*P35)</f>
        <v/>
      </c>
      <c r="Y35" s="247"/>
      <c r="AD35" s="37"/>
      <c r="AE35" s="37"/>
      <c r="AF35" s="37"/>
    </row>
    <row r="36" spans="2:41" s="2" customFormat="1" ht="21.95" customHeight="1">
      <c r="J36" s="230"/>
      <c r="K36" s="231"/>
      <c r="L36" s="232"/>
      <c r="M36" s="233"/>
      <c r="N36" s="232"/>
      <c r="O36" s="233"/>
      <c r="P36" s="234" t="str">
        <f t="shared" ref="P36:P37" si="10">IF(L36="","",L36-N36)</f>
        <v/>
      </c>
      <c r="Q36" s="235"/>
      <c r="R36" s="232"/>
      <c r="S36" s="233"/>
      <c r="T36" s="215" t="str">
        <f t="shared" ref="T36:T39" si="11">IF(P36="","",P36*R36*0.034*$V$4)</f>
        <v/>
      </c>
      <c r="U36" s="216"/>
      <c r="V36" s="215" t="str">
        <f t="shared" ref="V36:V39" si="12">IF(P36="","",IF(ISERROR(P36*R36*0.034*$X$4),"-",P36*R36*0.034*$X$4))</f>
        <v/>
      </c>
      <c r="W36" s="216"/>
      <c r="X36" s="215" t="str">
        <f t="shared" ref="X36:X39" si="13">IF(R36="","",R36*P36)</f>
        <v/>
      </c>
      <c r="Y36" s="238"/>
      <c r="AD36" s="37"/>
      <c r="AE36" s="37"/>
      <c r="AF36" s="37"/>
    </row>
    <row r="37" spans="2:41" s="2" customFormat="1" ht="21.95" customHeight="1">
      <c r="J37" s="230"/>
      <c r="K37" s="231"/>
      <c r="L37" s="232"/>
      <c r="M37" s="233"/>
      <c r="N37" s="232"/>
      <c r="O37" s="233"/>
      <c r="P37" s="234" t="str">
        <f t="shared" si="10"/>
        <v/>
      </c>
      <c r="Q37" s="235"/>
      <c r="R37" s="232"/>
      <c r="S37" s="233"/>
      <c r="T37" s="215" t="str">
        <f t="shared" si="11"/>
        <v/>
      </c>
      <c r="U37" s="216"/>
      <c r="V37" s="215" t="str">
        <f t="shared" si="12"/>
        <v/>
      </c>
      <c r="W37" s="216"/>
      <c r="X37" s="215" t="str">
        <f t="shared" si="13"/>
        <v/>
      </c>
      <c r="Y37" s="238"/>
      <c r="AD37" s="37"/>
      <c r="AE37" s="37"/>
      <c r="AF37" s="37"/>
    </row>
    <row r="38" spans="2:41" s="2" customFormat="1" ht="21.95" customHeight="1">
      <c r="J38" s="230"/>
      <c r="K38" s="231"/>
      <c r="L38" s="232"/>
      <c r="M38" s="233"/>
      <c r="N38" s="232"/>
      <c r="O38" s="233"/>
      <c r="P38" s="234" t="str">
        <f>IF(L38="","",L38-N38)</f>
        <v/>
      </c>
      <c r="Q38" s="235"/>
      <c r="R38" s="236"/>
      <c r="S38" s="236"/>
      <c r="T38" s="217" t="str">
        <f t="shared" si="11"/>
        <v/>
      </c>
      <c r="U38" s="217"/>
      <c r="V38" s="215" t="str">
        <f t="shared" si="12"/>
        <v/>
      </c>
      <c r="W38" s="216"/>
      <c r="X38" s="217" t="str">
        <f t="shared" si="13"/>
        <v/>
      </c>
      <c r="Y38" s="218"/>
      <c r="AD38" s="37"/>
      <c r="AE38" s="37"/>
      <c r="AF38" s="37"/>
    </row>
    <row r="39" spans="2:41" s="2" customFormat="1" ht="21.95" customHeight="1" thickBot="1">
      <c r="J39" s="219"/>
      <c r="K39" s="220"/>
      <c r="L39" s="221"/>
      <c r="M39" s="222"/>
      <c r="N39" s="221"/>
      <c r="O39" s="222"/>
      <c r="P39" s="223" t="str">
        <f>IF(L39="","",L39-N39)</f>
        <v/>
      </c>
      <c r="Q39" s="224"/>
      <c r="R39" s="225"/>
      <c r="S39" s="225"/>
      <c r="T39" s="226" t="str">
        <f t="shared" si="11"/>
        <v/>
      </c>
      <c r="U39" s="226"/>
      <c r="V39" s="227" t="str">
        <f t="shared" si="12"/>
        <v/>
      </c>
      <c r="W39" s="228"/>
      <c r="X39" s="226" t="str">
        <f t="shared" si="13"/>
        <v/>
      </c>
      <c r="Y39" s="229"/>
      <c r="AD39" s="37"/>
      <c r="AE39" s="37"/>
      <c r="AF39" s="37"/>
    </row>
    <row r="40" spans="2:41" s="2" customFormat="1" ht="21.95" customHeight="1" thickBot="1">
      <c r="J40" s="200" t="s">
        <v>208</v>
      </c>
      <c r="K40" s="201"/>
      <c r="L40" s="201"/>
      <c r="M40" s="201"/>
      <c r="N40" s="201"/>
      <c r="O40" s="201"/>
      <c r="P40" s="201"/>
      <c r="Q40" s="201"/>
      <c r="R40" s="201"/>
      <c r="S40" s="201"/>
      <c r="T40" s="202">
        <f>SUM(T35:U39)</f>
        <v>0</v>
      </c>
      <c r="U40" s="202"/>
      <c r="V40" s="202">
        <f>IF(共通条件・結果!AA7="８地域","-",SUM(V35:W39))</f>
        <v>0</v>
      </c>
      <c r="W40" s="202"/>
      <c r="X40" s="202">
        <f>SUM(X35:Y39)</f>
        <v>0</v>
      </c>
      <c r="Y40" s="203"/>
    </row>
    <row r="41" spans="2:41" s="2" customFormat="1" ht="12">
      <c r="J41" s="47"/>
    </row>
    <row r="42" spans="2:41" s="2" customFormat="1" ht="21.95" customHeight="1" thickBot="1">
      <c r="B42" s="4" t="s">
        <v>209</v>
      </c>
    </row>
    <row r="43" spans="2:41" s="2" customFormat="1" ht="21.95" customHeight="1">
      <c r="B43" s="204" t="s">
        <v>180</v>
      </c>
      <c r="C43" s="205"/>
      <c r="D43" s="136" t="s">
        <v>37</v>
      </c>
      <c r="E43" s="137"/>
      <c r="F43" s="137"/>
      <c r="G43" s="137"/>
      <c r="H43" s="137"/>
      <c r="I43" s="137"/>
      <c r="J43" s="138"/>
      <c r="K43" s="9"/>
      <c r="L43" s="210">
        <f>Q43+U43+Y43</f>
        <v>0</v>
      </c>
      <c r="M43" s="210"/>
      <c r="N43" s="210"/>
      <c r="O43" s="9" t="s">
        <v>22</v>
      </c>
      <c r="P43" s="10" t="s">
        <v>21</v>
      </c>
      <c r="Q43" s="211">
        <f>D8*F8+D9*F9+D10*F10+D11*F11+D12*F12+D13*F13+D14*F14+D15*F15+D16*F16+D17*F17+D18*F18+D19*F19</f>
        <v>0</v>
      </c>
      <c r="R43" s="211"/>
      <c r="S43" s="48" t="s">
        <v>23</v>
      </c>
      <c r="T43" s="48" t="s">
        <v>20</v>
      </c>
      <c r="U43" s="212">
        <f>N26*P26+N27*P27+N28*P28</f>
        <v>0</v>
      </c>
      <c r="V43" s="212"/>
      <c r="W43" s="48" t="s">
        <v>23</v>
      </c>
      <c r="X43" s="48" t="s">
        <v>1</v>
      </c>
      <c r="Y43" s="214">
        <f>SUM(P35:Q39)</f>
        <v>0</v>
      </c>
      <c r="Z43" s="214"/>
      <c r="AA43" s="49" t="s">
        <v>17</v>
      </c>
    </row>
    <row r="44" spans="2:41" s="2" customFormat="1" ht="21.95" customHeight="1">
      <c r="B44" s="206"/>
      <c r="C44" s="207"/>
      <c r="D44" s="141" t="s">
        <v>47</v>
      </c>
      <c r="E44" s="142"/>
      <c r="F44" s="142"/>
      <c r="G44" s="142"/>
      <c r="H44" s="142"/>
      <c r="I44" s="142"/>
      <c r="J44" s="143"/>
      <c r="K44" s="8"/>
      <c r="L44" s="8"/>
      <c r="M44" s="8"/>
      <c r="N44" s="8"/>
      <c r="O44" s="8"/>
      <c r="P44" s="8"/>
      <c r="Q44" s="8"/>
      <c r="R44" s="8"/>
      <c r="S44" s="8"/>
      <c r="T44" s="8"/>
      <c r="U44" s="8"/>
      <c r="V44" s="8"/>
      <c r="W44" s="197">
        <f>V20+V29+T40</f>
        <v>0</v>
      </c>
      <c r="X44" s="197"/>
      <c r="Y44" s="197"/>
      <c r="Z44" s="198" t="s">
        <v>113</v>
      </c>
      <c r="AA44" s="199"/>
    </row>
    <row r="45" spans="2:41" s="2" customFormat="1" ht="21.95" customHeight="1">
      <c r="B45" s="206"/>
      <c r="C45" s="207"/>
      <c r="D45" s="141" t="s">
        <v>48</v>
      </c>
      <c r="E45" s="142"/>
      <c r="F45" s="142"/>
      <c r="G45" s="142"/>
      <c r="H45" s="142"/>
      <c r="I45" s="142"/>
      <c r="J45" s="143"/>
      <c r="K45" s="8"/>
      <c r="L45" s="8"/>
      <c r="M45" s="8"/>
      <c r="N45" s="8"/>
      <c r="O45" s="8"/>
      <c r="P45" s="8"/>
      <c r="Q45" s="8"/>
      <c r="R45" s="8"/>
      <c r="S45" s="8"/>
      <c r="T45" s="8"/>
      <c r="U45" s="8"/>
      <c r="V45" s="8"/>
      <c r="W45" s="197">
        <f>IF(共通条件・結果!AA7="８地域","-",$X$20+$X$29+$V$40)</f>
        <v>0</v>
      </c>
      <c r="X45" s="197"/>
      <c r="Y45" s="197"/>
      <c r="Z45" s="198" t="s">
        <v>113</v>
      </c>
      <c r="AA45" s="199"/>
    </row>
    <row r="46" spans="2:41" s="2" customFormat="1" ht="21.95" customHeight="1" thickBot="1">
      <c r="B46" s="208"/>
      <c r="C46" s="209"/>
      <c r="D46" s="180" t="s">
        <v>18</v>
      </c>
      <c r="E46" s="181"/>
      <c r="F46" s="181"/>
      <c r="G46" s="181"/>
      <c r="H46" s="181"/>
      <c r="I46" s="181"/>
      <c r="J46" s="182"/>
      <c r="K46" s="7"/>
      <c r="L46" s="7"/>
      <c r="M46" s="7"/>
      <c r="N46" s="7"/>
      <c r="O46" s="7"/>
      <c r="P46" s="7"/>
      <c r="Q46" s="7"/>
      <c r="R46" s="7"/>
      <c r="S46" s="7"/>
      <c r="T46" s="7"/>
      <c r="U46" s="7"/>
      <c r="V46" s="7"/>
      <c r="W46" s="237">
        <f>Z20+Z29+X40</f>
        <v>0</v>
      </c>
      <c r="X46" s="237"/>
      <c r="Y46" s="237"/>
      <c r="Z46" s="44" t="s">
        <v>19</v>
      </c>
      <c r="AA46" s="50"/>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ewhGNU5u0UIapjSDUOPXt2YreCWt9INmfg8ClPBPBXG1O1QM7qhWfwsCmwB+eSXzEh9IYzK5YPf1sAJ8jMlYew==" saltValue="k+Db67eCNkGLLUc3YxVKUA==" spinCount="100000" sheet="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B8:U19">
    <cfRule type="expression" dxfId="87" priority="155" stopIfTrue="1">
      <formula>$AE$2&lt;&gt;2</formula>
    </cfRule>
  </conditionalFormatting>
  <conditionalFormatting sqref="J35:O39">
    <cfRule type="expression" dxfId="86" priority="81" stopIfTrue="1">
      <formula>$AE$2&lt;&gt;2</formula>
    </cfRule>
  </conditionalFormatting>
  <conditionalFormatting sqref="J26:U28">
    <cfRule type="expression" dxfId="85" priority="119" stopIfTrue="1">
      <formula>$AE$2&lt;&gt;2</formula>
    </cfRule>
  </conditionalFormatting>
  <conditionalFormatting sqref="L43:N43">
    <cfRule type="expression" dxfId="84" priority="7">
      <formula>$AE$2&lt;&gt;2</formula>
    </cfRule>
  </conditionalFormatting>
  <conditionalFormatting sqref="P35:Q39">
    <cfRule type="expression" dxfId="83" priority="14">
      <formula>$AE$2&lt;&gt;2</formula>
    </cfRule>
  </conditionalFormatting>
  <conditionalFormatting sqref="Q43:R43">
    <cfRule type="expression" dxfId="82" priority="6">
      <formula>$AE$2&lt;&gt;2</formula>
    </cfRule>
  </conditionalFormatting>
  <conditionalFormatting sqref="R35:S39">
    <cfRule type="expression" dxfId="81" priority="79" stopIfTrue="1">
      <formula>$AE$2&lt;&gt;2</formula>
    </cfRule>
  </conditionalFormatting>
  <conditionalFormatting sqref="T35:Y40">
    <cfRule type="expression" dxfId="80" priority="8">
      <formula>$AE$2&lt;&gt;2</formula>
    </cfRule>
  </conditionalFormatting>
  <conditionalFormatting sqref="U43:V43">
    <cfRule type="expression" dxfId="79" priority="5">
      <formula>$AE$2&lt;&gt;2</formula>
    </cfRule>
  </conditionalFormatting>
  <conditionalFormatting sqref="V8:AA19">
    <cfRule type="expression" dxfId="78" priority="43">
      <formula>$AE$2&lt;&gt;2</formula>
    </cfRule>
  </conditionalFormatting>
  <conditionalFormatting sqref="V26:AA29">
    <cfRule type="expression" dxfId="77" priority="31">
      <formula>$AE$2&lt;&gt;2</formula>
    </cfRule>
  </conditionalFormatting>
  <conditionalFormatting sqref="W44:Y46">
    <cfRule type="expression" dxfId="76" priority="1">
      <formula>$AE$2&lt;&gt;2</formula>
    </cfRule>
  </conditionalFormatting>
  <conditionalFormatting sqref="Y43:Z43">
    <cfRule type="expression" dxfId="75" priority="4">
      <formula>$AE$2&lt;&gt;2</formula>
    </cfRule>
  </conditionalFormatting>
  <dataValidations count="1">
    <dataValidation type="list" allowBlank="1" showInputMessage="1" showErrorMessage="1" sqref="M14:M19 L8:L19 M8:M11 T26:T28 U26 U28" xr:uid="{00000000-0002-0000-04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19810"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19811"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19812"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19813"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19814"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19815"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19816"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19817"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19818"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19819"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19820"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AS108"/>
  <sheetViews>
    <sheetView view="pageBreakPreview" topLeftCell="A19" zoomScale="85" zoomScaleNormal="100" zoomScaleSheetLayoutView="85" workbookViewId="0">
      <selection activeCell="B10" sqref="B10:C10"/>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361" t="s">
        <v>200</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E2" s="101">
        <f>共通条件・結果!AE2</f>
        <v>1</v>
      </c>
    </row>
    <row r="3" spans="2:41" s="2" customFormat="1" ht="24.95" customHeight="1" thickBot="1">
      <c r="AE3" s="2" t="s">
        <v>271</v>
      </c>
    </row>
    <row r="4" spans="2:41" s="2" customFormat="1" ht="21.95" customHeight="1" thickBot="1">
      <c r="B4" s="4" t="s">
        <v>5</v>
      </c>
      <c r="R4" s="362" t="s">
        <v>33</v>
      </c>
      <c r="S4" s="363"/>
      <c r="T4" s="363"/>
      <c r="U4" s="364"/>
      <c r="V4" s="365" t="b">
        <f>IF(共通条件・結果!AA7="８地域","0.480",IF(共通条件・結果!AA7="７地域",0.412,IF(共通条件・結果!AA7="６地域",0.434,IF(共通条件・結果!AA7="５地域",0.472,IF(共通条件・結果!AA7="４地域",0.437,IF(共通条件・結果!AA7="３地域",0.476,IF(共通条件・結果!AA7="２地域",0.507,IF(共通条件・結果!AA7="１地域",0.502))))))))</f>
        <v>0</v>
      </c>
      <c r="W4" s="366"/>
      <c r="X4" s="365" t="b">
        <f>IF(共通条件・結果!AA7="８地域","-",IF(共通条件・結果!AA7="７地域",1.023,IF(共通条件・結果!AA7="６地域",0.936,IF(共通条件・結果!AA7="５地域",0.983,IF(共通条件・結果!AA7="４地域",0.815,IF(共通条件・結果!AA7="３地域",0.851,IF(共通条件・結果!AA7="２地域",0.856,IF(共通条件・結果!AA7="１地域",0.935))))))))</f>
        <v>0</v>
      </c>
      <c r="Y4" s="366"/>
    </row>
    <row r="5" spans="2:41" s="2" customFormat="1" ht="21.95" customHeight="1">
      <c r="B5" s="367" t="s">
        <v>6</v>
      </c>
      <c r="C5" s="178"/>
      <c r="D5" s="178" t="s">
        <v>140</v>
      </c>
      <c r="E5" s="178"/>
      <c r="F5" s="178"/>
      <c r="G5" s="178"/>
      <c r="H5" s="266" t="s">
        <v>141</v>
      </c>
      <c r="I5" s="178"/>
      <c r="J5" s="266" t="s">
        <v>65</v>
      </c>
      <c r="K5" s="178"/>
      <c r="L5" s="266" t="s">
        <v>9</v>
      </c>
      <c r="M5" s="178"/>
      <c r="N5" s="370" t="s">
        <v>46</v>
      </c>
      <c r="O5" s="214"/>
      <c r="P5" s="214"/>
      <c r="Q5" s="214"/>
      <c r="R5" s="214"/>
      <c r="S5" s="214"/>
      <c r="T5" s="214"/>
      <c r="U5" s="214"/>
      <c r="V5" s="266" t="s">
        <v>142</v>
      </c>
      <c r="W5" s="178"/>
      <c r="X5" s="266" t="s">
        <v>143</v>
      </c>
      <c r="Y5" s="178"/>
      <c r="Z5" s="266" t="s">
        <v>110</v>
      </c>
      <c r="AA5" s="179"/>
    </row>
    <row r="6" spans="2:41" s="2" customFormat="1" ht="21.95" customHeight="1">
      <c r="B6" s="368"/>
      <c r="C6" s="267"/>
      <c r="D6" s="349" t="s">
        <v>8</v>
      </c>
      <c r="E6" s="350"/>
      <c r="F6" s="353" t="s">
        <v>7</v>
      </c>
      <c r="G6" s="354"/>
      <c r="H6" s="267"/>
      <c r="I6" s="267"/>
      <c r="J6" s="269"/>
      <c r="K6" s="267"/>
      <c r="L6" s="269"/>
      <c r="M6" s="267"/>
      <c r="N6" s="355" t="s">
        <v>45</v>
      </c>
      <c r="O6" s="356"/>
      <c r="P6" s="358" t="s">
        <v>144</v>
      </c>
      <c r="Q6" s="359"/>
      <c r="R6" s="359"/>
      <c r="S6" s="359"/>
      <c r="T6" s="359"/>
      <c r="U6" s="360"/>
      <c r="V6" s="269"/>
      <c r="W6" s="267"/>
      <c r="X6" s="269"/>
      <c r="Y6" s="267"/>
      <c r="Z6" s="267"/>
      <c r="AA6" s="272"/>
      <c r="AD6" s="287" t="s">
        <v>49</v>
      </c>
      <c r="AE6" s="287"/>
      <c r="AF6" s="19"/>
      <c r="AG6" s="19"/>
      <c r="AH6" s="287" t="s">
        <v>12</v>
      </c>
      <c r="AI6" s="287"/>
      <c r="AJ6" s="19"/>
      <c r="AK6" s="287" t="s">
        <v>50</v>
      </c>
      <c r="AL6" s="287"/>
      <c r="AN6" s="287" t="s">
        <v>58</v>
      </c>
      <c r="AO6" s="287"/>
    </row>
    <row r="7" spans="2:41" s="2" customFormat="1" ht="21.95" customHeight="1" thickBot="1">
      <c r="B7" s="369"/>
      <c r="C7" s="268"/>
      <c r="D7" s="351"/>
      <c r="E7" s="352"/>
      <c r="F7" s="297"/>
      <c r="G7" s="253"/>
      <c r="H7" s="268"/>
      <c r="I7" s="268"/>
      <c r="J7" s="268"/>
      <c r="K7" s="268"/>
      <c r="L7" s="268"/>
      <c r="M7" s="268"/>
      <c r="N7" s="258"/>
      <c r="O7" s="357"/>
      <c r="P7" s="253" t="s">
        <v>10</v>
      </c>
      <c r="Q7" s="300"/>
      <c r="R7" s="346" t="s">
        <v>11</v>
      </c>
      <c r="S7" s="347"/>
      <c r="T7" s="253" t="s">
        <v>3</v>
      </c>
      <c r="U7" s="300"/>
      <c r="V7" s="268"/>
      <c r="W7" s="268"/>
      <c r="X7" s="268"/>
      <c r="Y7" s="268"/>
      <c r="Z7" s="268"/>
      <c r="AA7" s="273"/>
      <c r="AD7" s="19" t="s">
        <v>4</v>
      </c>
      <c r="AE7" s="19" t="s">
        <v>16</v>
      </c>
      <c r="AF7" s="19"/>
      <c r="AG7" s="19"/>
      <c r="AH7" s="19" t="s">
        <v>4</v>
      </c>
      <c r="AI7" s="19" t="s">
        <v>16</v>
      </c>
      <c r="AJ7" s="19"/>
      <c r="AK7" s="19" t="s">
        <v>4</v>
      </c>
      <c r="AL7" s="19" t="s">
        <v>16</v>
      </c>
      <c r="AN7" s="45" t="s">
        <v>56</v>
      </c>
      <c r="AO7" s="2" t="s">
        <v>54</v>
      </c>
    </row>
    <row r="8" spans="2:41" s="2" customFormat="1" ht="21.95" customHeight="1">
      <c r="B8" s="239"/>
      <c r="C8" s="345"/>
      <c r="D8" s="291"/>
      <c r="E8" s="292"/>
      <c r="F8" s="292"/>
      <c r="G8" s="293"/>
      <c r="H8" s="245"/>
      <c r="I8" s="245"/>
      <c r="J8" s="245"/>
      <c r="K8" s="245"/>
      <c r="L8" s="317"/>
      <c r="M8" s="317"/>
      <c r="N8" s="337"/>
      <c r="O8" s="338"/>
      <c r="P8" s="339"/>
      <c r="Q8" s="340"/>
      <c r="R8" s="341"/>
      <c r="S8" s="342"/>
      <c r="T8" s="343"/>
      <c r="U8" s="339"/>
      <c r="V8" s="344" t="str">
        <f>IF(D8="","",AD8)</f>
        <v/>
      </c>
      <c r="W8" s="344"/>
      <c r="X8" s="344" t="str">
        <f t="shared" ref="X8:X19" si="0">IF(D8="","",IF(ISERROR(AE8),"-",AE8))</f>
        <v/>
      </c>
      <c r="Y8" s="344"/>
      <c r="Z8" s="344" t="str">
        <f>IF(D8="","",D8*F8*AN8)</f>
        <v/>
      </c>
      <c r="AA8" s="371"/>
      <c r="AD8" s="2" t="e">
        <f>D8*F8*J8*$V$4*AH8</f>
        <v>#VALUE!</v>
      </c>
      <c r="AE8" s="2" t="e">
        <f>D8*F8*J8*$X$4*AI8</f>
        <v>#VALUE!</v>
      </c>
      <c r="AG8" s="37" t="b">
        <v>0</v>
      </c>
      <c r="AH8" s="2" t="str">
        <f>IF(AG8=TRUE,"0.93",IF(ISERROR(AK8),"エラー",IF(AK8&gt;0.93,"0.93",AK8)))</f>
        <v>エラー</v>
      </c>
      <c r="AI8" s="2" t="str">
        <f>IF(AG8=TRUE,"0.51",IF(ISERROR(AL8),"エラー",IF(AL8&gt;0.72,"0.72",AL8)))</f>
        <v>エラー</v>
      </c>
      <c r="AK8" s="2" t="e">
        <f>IF(共通条件・結果!$AA$7="８地域",0.01*(16+19*(2*R8+T8)/P8),0.01*(24+9*(3*R8+T8)/P8))</f>
        <v>#DIV/0!</v>
      </c>
      <c r="AL8" s="2" t="e">
        <f>0.01*(5+20*(3*R8+T8)/P8)</f>
        <v>#DIV/0!</v>
      </c>
      <c r="AN8" s="2">
        <f>IF(AO8="FALSE",H8,IF(L8="風除室",1/((1/H8)+0.1),0.5*H8+0.5*(1/((1/H8)+AO8))))</f>
        <v>0</v>
      </c>
      <c r="AO8" s="19" t="str">
        <f t="shared" ref="AO8:AO19" si="1">IF(L8="","FALSE",IF(L8="雨戸",0.1,IF(L8="ｼｬｯﾀｰ",0.1,IF(L8="障子",0.18,IF(L8="風除室",0.1)))))</f>
        <v>FALSE</v>
      </c>
    </row>
    <row r="9" spans="2:41" s="2" customFormat="1" ht="21.95" customHeight="1">
      <c r="B9" s="230"/>
      <c r="C9" s="331"/>
      <c r="D9" s="332"/>
      <c r="E9" s="333"/>
      <c r="F9" s="333"/>
      <c r="G9" s="334"/>
      <c r="H9" s="236"/>
      <c r="I9" s="236"/>
      <c r="J9" s="236"/>
      <c r="K9" s="236"/>
      <c r="L9" s="281"/>
      <c r="M9" s="281"/>
      <c r="N9" s="323"/>
      <c r="O9" s="324"/>
      <c r="P9" s="325"/>
      <c r="Q9" s="326"/>
      <c r="R9" s="327"/>
      <c r="S9" s="328"/>
      <c r="T9" s="329"/>
      <c r="U9" s="325"/>
      <c r="V9" s="217" t="str">
        <f t="shared" ref="V9:V19" si="2">IF(D9="","",AD9)</f>
        <v/>
      </c>
      <c r="W9" s="217"/>
      <c r="X9" s="217" t="str">
        <f t="shared" si="0"/>
        <v/>
      </c>
      <c r="Y9" s="217"/>
      <c r="Z9" s="217" t="str">
        <f t="shared" ref="Z9:Z19" si="3">IF(D9="","",D9*F9*AN9)</f>
        <v/>
      </c>
      <c r="AA9" s="218"/>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IF(共通条件・結果!$AA$7="８地域",0.01*(16+19*(2*R9+T9)/P9),0.01*(24+9*(3*R9+T9)/P9))</f>
        <v>#DIV/0!</v>
      </c>
      <c r="AL9" s="2" t="e">
        <f t="shared" ref="AL9:AL19" si="8">0.01*(5+20*(3*R9+T9)/P9)</f>
        <v>#DIV/0!</v>
      </c>
      <c r="AN9" s="2">
        <f t="shared" ref="AN9:AN19" si="9">IF(AO9="FALSE",H9,IF(L9="風除室",1/((1/H9)+0.1),0.5*H9+0.5*(1/((1/H9)+AO9))))</f>
        <v>0</v>
      </c>
      <c r="AO9" s="19" t="str">
        <f t="shared" si="1"/>
        <v>FALSE</v>
      </c>
    </row>
    <row r="10" spans="2:41" s="2" customFormat="1" ht="21.95" customHeight="1">
      <c r="B10" s="230"/>
      <c r="C10" s="331"/>
      <c r="D10" s="332"/>
      <c r="E10" s="333"/>
      <c r="F10" s="333"/>
      <c r="G10" s="334"/>
      <c r="H10" s="236"/>
      <c r="I10" s="236"/>
      <c r="J10" s="236"/>
      <c r="K10" s="236"/>
      <c r="L10" s="281"/>
      <c r="M10" s="281"/>
      <c r="N10" s="323"/>
      <c r="O10" s="324"/>
      <c r="P10" s="326"/>
      <c r="Q10" s="335"/>
      <c r="R10" s="330"/>
      <c r="S10" s="335"/>
      <c r="T10" s="330"/>
      <c r="U10" s="329"/>
      <c r="V10" s="217" t="str">
        <f t="shared" si="2"/>
        <v/>
      </c>
      <c r="W10" s="217"/>
      <c r="X10" s="217" t="str">
        <f t="shared" si="0"/>
        <v/>
      </c>
      <c r="Y10" s="217"/>
      <c r="Z10" s="217" t="str">
        <f t="shared" si="3"/>
        <v/>
      </c>
      <c r="AA10" s="218"/>
      <c r="AD10" s="2" t="e">
        <f t="shared" si="4"/>
        <v>#VALUE!</v>
      </c>
      <c r="AE10" s="2" t="e">
        <f t="shared" si="5"/>
        <v>#VALUE!</v>
      </c>
      <c r="AG10" s="37" t="b">
        <v>0</v>
      </c>
      <c r="AH10" s="2" t="str">
        <f t="shared" si="6"/>
        <v>エラー</v>
      </c>
      <c r="AI10" s="2" t="str">
        <f t="shared" si="7"/>
        <v>エラー</v>
      </c>
      <c r="AK10" s="2" t="e">
        <f>IF(共通条件・結果!$AA$7="８地域",0.01*(16+19*(2*R10+T10)/P10),0.01*(24+9*(3*R10+T10)/P10))</f>
        <v>#DIV/0!</v>
      </c>
      <c r="AL10" s="2" t="e">
        <f t="shared" si="8"/>
        <v>#DIV/0!</v>
      </c>
      <c r="AN10" s="2">
        <f>IF(AO10="FALSE",H10,IF(L10="風除室",1/((1/H10)+0.1),0.5*H10+0.5*(1/((1/H10)+AO10))))</f>
        <v>0</v>
      </c>
      <c r="AO10" s="19" t="str">
        <f t="shared" si="1"/>
        <v>FALSE</v>
      </c>
    </row>
    <row r="11" spans="2:41" s="2" customFormat="1" ht="21.95" customHeight="1">
      <c r="B11" s="230"/>
      <c r="C11" s="331"/>
      <c r="D11" s="332"/>
      <c r="E11" s="333"/>
      <c r="F11" s="333"/>
      <c r="G11" s="334"/>
      <c r="H11" s="236"/>
      <c r="I11" s="236"/>
      <c r="J11" s="236"/>
      <c r="K11" s="236"/>
      <c r="L11" s="281"/>
      <c r="M11" s="281"/>
      <c r="N11" s="323"/>
      <c r="O11" s="324"/>
      <c r="P11" s="326"/>
      <c r="Q11" s="335"/>
      <c r="R11" s="330"/>
      <c r="S11" s="335"/>
      <c r="T11" s="330"/>
      <c r="U11" s="329"/>
      <c r="V11" s="217" t="str">
        <f t="shared" si="2"/>
        <v/>
      </c>
      <c r="W11" s="217"/>
      <c r="X11" s="217" t="str">
        <f t="shared" si="0"/>
        <v/>
      </c>
      <c r="Y11" s="217"/>
      <c r="Z11" s="217" t="str">
        <f t="shared" si="3"/>
        <v/>
      </c>
      <c r="AA11" s="218"/>
      <c r="AD11" s="2" t="e">
        <f t="shared" si="4"/>
        <v>#VALUE!</v>
      </c>
      <c r="AE11" s="2" t="e">
        <f t="shared" si="5"/>
        <v>#VALUE!</v>
      </c>
      <c r="AG11" s="37" t="b">
        <v>0</v>
      </c>
      <c r="AH11" s="2" t="str">
        <f t="shared" si="6"/>
        <v>エラー</v>
      </c>
      <c r="AI11" s="2" t="str">
        <f t="shared" si="7"/>
        <v>エラー</v>
      </c>
      <c r="AK11" s="2" t="e">
        <f>IF(共通条件・結果!$AA$7="８地域",0.01*(16+19*(2*R11+T11)/P11),0.01*(24+9*(3*R11+T11)/P11))</f>
        <v>#DIV/0!</v>
      </c>
      <c r="AL11" s="2" t="e">
        <f t="shared" si="8"/>
        <v>#DIV/0!</v>
      </c>
      <c r="AN11" s="2">
        <f t="shared" si="9"/>
        <v>0</v>
      </c>
      <c r="AO11" s="19" t="str">
        <f t="shared" si="1"/>
        <v>FALSE</v>
      </c>
    </row>
    <row r="12" spans="2:41" s="2" customFormat="1" ht="21.95" customHeight="1">
      <c r="B12" s="230"/>
      <c r="C12" s="231"/>
      <c r="D12" s="232"/>
      <c r="E12" s="285"/>
      <c r="F12" s="286"/>
      <c r="G12" s="233"/>
      <c r="H12" s="232"/>
      <c r="I12" s="233"/>
      <c r="J12" s="232"/>
      <c r="K12" s="233"/>
      <c r="L12" s="295"/>
      <c r="M12" s="296"/>
      <c r="N12" s="323"/>
      <c r="O12" s="336"/>
      <c r="P12" s="326"/>
      <c r="Q12" s="335"/>
      <c r="R12" s="330"/>
      <c r="S12" s="335"/>
      <c r="T12" s="330"/>
      <c r="U12" s="329"/>
      <c r="V12" s="215" t="str">
        <f t="shared" si="2"/>
        <v/>
      </c>
      <c r="W12" s="216"/>
      <c r="X12" s="215" t="str">
        <f t="shared" si="0"/>
        <v/>
      </c>
      <c r="Y12" s="216"/>
      <c r="Z12" s="215" t="str">
        <f t="shared" si="3"/>
        <v/>
      </c>
      <c r="AA12" s="238"/>
      <c r="AD12" s="2" t="e">
        <f t="shared" si="4"/>
        <v>#VALUE!</v>
      </c>
      <c r="AE12" s="2" t="e">
        <f t="shared" si="5"/>
        <v>#VALUE!</v>
      </c>
      <c r="AG12" s="37" t="b">
        <v>0</v>
      </c>
      <c r="AH12" s="2" t="str">
        <f t="shared" si="6"/>
        <v>エラー</v>
      </c>
      <c r="AI12" s="2" t="str">
        <f t="shared" si="7"/>
        <v>エラー</v>
      </c>
      <c r="AK12" s="2" t="e">
        <f>IF(共通条件・結果!$AA$7="８地域",0.01*(16+19*(2*R12+T12)/P12),0.01*(24+9*(3*R12+T12)/P12))</f>
        <v>#DIV/0!</v>
      </c>
      <c r="AL12" s="2" t="e">
        <f t="shared" si="8"/>
        <v>#DIV/0!</v>
      </c>
      <c r="AN12" s="2">
        <f t="shared" si="9"/>
        <v>0</v>
      </c>
      <c r="AO12" s="19" t="str">
        <f t="shared" si="1"/>
        <v>FALSE</v>
      </c>
    </row>
    <row r="13" spans="2:41" s="2" customFormat="1" ht="21.95" customHeight="1">
      <c r="B13" s="230"/>
      <c r="C13" s="231"/>
      <c r="D13" s="232"/>
      <c r="E13" s="285"/>
      <c r="F13" s="286"/>
      <c r="G13" s="233"/>
      <c r="H13" s="232"/>
      <c r="I13" s="233"/>
      <c r="J13" s="232"/>
      <c r="K13" s="233"/>
      <c r="L13" s="295"/>
      <c r="M13" s="296"/>
      <c r="N13" s="323"/>
      <c r="O13" s="336"/>
      <c r="P13" s="326"/>
      <c r="Q13" s="335"/>
      <c r="R13" s="330"/>
      <c r="S13" s="335"/>
      <c r="T13" s="330"/>
      <c r="U13" s="329"/>
      <c r="V13" s="215" t="str">
        <f t="shared" si="2"/>
        <v/>
      </c>
      <c r="W13" s="216"/>
      <c r="X13" s="215" t="str">
        <f t="shared" si="0"/>
        <v/>
      </c>
      <c r="Y13" s="216"/>
      <c r="Z13" s="215" t="str">
        <f t="shared" si="3"/>
        <v/>
      </c>
      <c r="AA13" s="238"/>
      <c r="AD13" s="2" t="e">
        <f t="shared" si="4"/>
        <v>#VALUE!</v>
      </c>
      <c r="AE13" s="2" t="e">
        <f t="shared" si="5"/>
        <v>#VALUE!</v>
      </c>
      <c r="AG13" s="37" t="b">
        <v>0</v>
      </c>
      <c r="AH13" s="2" t="str">
        <f t="shared" si="6"/>
        <v>エラー</v>
      </c>
      <c r="AI13" s="2" t="str">
        <f t="shared" si="7"/>
        <v>エラー</v>
      </c>
      <c r="AK13" s="2" t="e">
        <f>IF(共通条件・結果!$AA$7="８地域",0.01*(16+19*(2*R13+T13)/P13),0.01*(24+9*(3*R13+T13)/P13))</f>
        <v>#DIV/0!</v>
      </c>
      <c r="AL13" s="2" t="e">
        <f t="shared" si="8"/>
        <v>#DIV/0!</v>
      </c>
      <c r="AN13" s="2">
        <f t="shared" si="9"/>
        <v>0</v>
      </c>
      <c r="AO13" s="19" t="str">
        <f t="shared" si="1"/>
        <v>FALSE</v>
      </c>
    </row>
    <row r="14" spans="2:41" s="2" customFormat="1" ht="21.95" customHeight="1">
      <c r="B14" s="230"/>
      <c r="C14" s="331"/>
      <c r="D14" s="332"/>
      <c r="E14" s="333"/>
      <c r="F14" s="333"/>
      <c r="G14" s="334"/>
      <c r="H14" s="236"/>
      <c r="I14" s="236"/>
      <c r="J14" s="236"/>
      <c r="K14" s="236"/>
      <c r="L14" s="281"/>
      <c r="M14" s="281"/>
      <c r="N14" s="323"/>
      <c r="O14" s="324"/>
      <c r="P14" s="326"/>
      <c r="Q14" s="335"/>
      <c r="R14" s="330"/>
      <c r="S14" s="335"/>
      <c r="T14" s="330"/>
      <c r="U14" s="329"/>
      <c r="V14" s="217" t="str">
        <f t="shared" si="2"/>
        <v/>
      </c>
      <c r="W14" s="217"/>
      <c r="X14" s="217" t="str">
        <f t="shared" si="0"/>
        <v/>
      </c>
      <c r="Y14" s="217"/>
      <c r="Z14" s="217" t="str">
        <f t="shared" si="3"/>
        <v/>
      </c>
      <c r="AA14" s="218"/>
      <c r="AD14" s="2" t="e">
        <f t="shared" si="4"/>
        <v>#VALUE!</v>
      </c>
      <c r="AE14" s="2" t="e">
        <f t="shared" si="5"/>
        <v>#VALUE!</v>
      </c>
      <c r="AG14" s="37" t="b">
        <v>0</v>
      </c>
      <c r="AH14" s="2" t="str">
        <f t="shared" si="6"/>
        <v>エラー</v>
      </c>
      <c r="AI14" s="2" t="str">
        <f t="shared" si="7"/>
        <v>エラー</v>
      </c>
      <c r="AK14" s="2" t="e">
        <f>IF(共通条件・結果!$AA$7="８地域",0.01*(16+19*(2*R14+T14)/P14),0.01*(24+9*(3*R14+T14)/P14))</f>
        <v>#DIV/0!</v>
      </c>
      <c r="AL14" s="2" t="e">
        <f t="shared" si="8"/>
        <v>#DIV/0!</v>
      </c>
      <c r="AN14" s="2">
        <f t="shared" si="9"/>
        <v>0</v>
      </c>
      <c r="AO14" s="19" t="str">
        <f t="shared" si="1"/>
        <v>FALSE</v>
      </c>
    </row>
    <row r="15" spans="2:41" s="2" customFormat="1" ht="21.95" customHeight="1">
      <c r="B15" s="230"/>
      <c r="C15" s="331"/>
      <c r="D15" s="332"/>
      <c r="E15" s="333"/>
      <c r="F15" s="333"/>
      <c r="G15" s="334"/>
      <c r="H15" s="236"/>
      <c r="I15" s="236"/>
      <c r="J15" s="236"/>
      <c r="K15" s="236"/>
      <c r="L15" s="281"/>
      <c r="M15" s="281"/>
      <c r="N15" s="323"/>
      <c r="O15" s="324"/>
      <c r="P15" s="326"/>
      <c r="Q15" s="335"/>
      <c r="R15" s="330"/>
      <c r="S15" s="335"/>
      <c r="T15" s="330"/>
      <c r="U15" s="329"/>
      <c r="V15" s="215" t="str">
        <f t="shared" si="2"/>
        <v/>
      </c>
      <c r="W15" s="216"/>
      <c r="X15" s="217" t="str">
        <f t="shared" si="0"/>
        <v/>
      </c>
      <c r="Y15" s="217"/>
      <c r="Z15" s="217" t="str">
        <f t="shared" si="3"/>
        <v/>
      </c>
      <c r="AA15" s="218"/>
      <c r="AD15" s="2" t="e">
        <f t="shared" si="4"/>
        <v>#VALUE!</v>
      </c>
      <c r="AE15" s="2" t="e">
        <f t="shared" si="5"/>
        <v>#VALUE!</v>
      </c>
      <c r="AG15" s="37" t="b">
        <v>0</v>
      </c>
      <c r="AH15" s="2" t="str">
        <f t="shared" si="6"/>
        <v>エラー</v>
      </c>
      <c r="AI15" s="2" t="str">
        <f t="shared" si="7"/>
        <v>エラー</v>
      </c>
      <c r="AK15" s="2" t="e">
        <f>IF(共通条件・結果!$AA$7="８地域",0.01*(16+19*(2*R15+T15)/P15),0.01*(24+9*(3*R15+T15)/P15))</f>
        <v>#DIV/0!</v>
      </c>
      <c r="AL15" s="2" t="e">
        <f t="shared" si="8"/>
        <v>#DIV/0!</v>
      </c>
      <c r="AN15" s="2">
        <f t="shared" si="9"/>
        <v>0</v>
      </c>
      <c r="AO15" s="19" t="str">
        <f t="shared" si="1"/>
        <v>FALSE</v>
      </c>
    </row>
    <row r="16" spans="2:41" s="2" customFormat="1" ht="21.95" customHeight="1">
      <c r="B16" s="230"/>
      <c r="C16" s="331"/>
      <c r="D16" s="332"/>
      <c r="E16" s="333"/>
      <c r="F16" s="333"/>
      <c r="G16" s="334"/>
      <c r="H16" s="236"/>
      <c r="I16" s="236"/>
      <c r="J16" s="236"/>
      <c r="K16" s="236"/>
      <c r="L16" s="281"/>
      <c r="M16" s="281"/>
      <c r="N16" s="323"/>
      <c r="O16" s="324"/>
      <c r="P16" s="326"/>
      <c r="Q16" s="335"/>
      <c r="R16" s="330"/>
      <c r="S16" s="335"/>
      <c r="T16" s="330"/>
      <c r="U16" s="329"/>
      <c r="V16" s="215" t="str">
        <f t="shared" si="2"/>
        <v/>
      </c>
      <c r="W16" s="216"/>
      <c r="X16" s="217" t="str">
        <f t="shared" si="0"/>
        <v/>
      </c>
      <c r="Y16" s="217"/>
      <c r="Z16" s="217" t="str">
        <f t="shared" si="3"/>
        <v/>
      </c>
      <c r="AA16" s="218"/>
      <c r="AD16" s="2" t="e">
        <f t="shared" si="4"/>
        <v>#VALUE!</v>
      </c>
      <c r="AE16" s="2" t="e">
        <f t="shared" si="5"/>
        <v>#VALUE!</v>
      </c>
      <c r="AG16" s="37" t="b">
        <v>0</v>
      </c>
      <c r="AH16" s="2" t="str">
        <f t="shared" si="6"/>
        <v>エラー</v>
      </c>
      <c r="AI16" s="2" t="str">
        <f t="shared" si="7"/>
        <v>エラー</v>
      </c>
      <c r="AK16" s="2" t="e">
        <f>IF(共通条件・結果!$AA$7="８地域",0.01*(16+19*(2*R16+T16)/P16),0.01*(24+9*(3*R16+T16)/P16))</f>
        <v>#DIV/0!</v>
      </c>
      <c r="AL16" s="2" t="e">
        <f t="shared" si="8"/>
        <v>#DIV/0!</v>
      </c>
      <c r="AN16" s="2">
        <f t="shared" si="9"/>
        <v>0</v>
      </c>
      <c r="AO16" s="19" t="str">
        <f t="shared" si="1"/>
        <v>FALSE</v>
      </c>
    </row>
    <row r="17" spans="2:41" s="2" customFormat="1" ht="21.95" customHeight="1">
      <c r="B17" s="230"/>
      <c r="C17" s="331"/>
      <c r="D17" s="332"/>
      <c r="E17" s="333"/>
      <c r="F17" s="333"/>
      <c r="G17" s="334"/>
      <c r="H17" s="236"/>
      <c r="I17" s="236"/>
      <c r="J17" s="236"/>
      <c r="K17" s="236"/>
      <c r="L17" s="281"/>
      <c r="M17" s="281"/>
      <c r="N17" s="323"/>
      <c r="O17" s="324"/>
      <c r="P17" s="325"/>
      <c r="Q17" s="326"/>
      <c r="R17" s="330"/>
      <c r="S17" s="335"/>
      <c r="T17" s="330"/>
      <c r="U17" s="329"/>
      <c r="V17" s="215" t="str">
        <f t="shared" si="2"/>
        <v/>
      </c>
      <c r="W17" s="216"/>
      <c r="X17" s="217" t="str">
        <f t="shared" si="0"/>
        <v/>
      </c>
      <c r="Y17" s="217"/>
      <c r="Z17" s="217" t="str">
        <f t="shared" si="3"/>
        <v/>
      </c>
      <c r="AA17" s="218"/>
      <c r="AD17" s="2" t="e">
        <f t="shared" si="4"/>
        <v>#VALUE!</v>
      </c>
      <c r="AE17" s="2" t="e">
        <f t="shared" si="5"/>
        <v>#VALUE!</v>
      </c>
      <c r="AG17" s="37" t="b">
        <v>0</v>
      </c>
      <c r="AH17" s="2" t="str">
        <f t="shared" si="6"/>
        <v>エラー</v>
      </c>
      <c r="AI17" s="2" t="str">
        <f t="shared" si="7"/>
        <v>エラー</v>
      </c>
      <c r="AK17" s="2" t="e">
        <f>IF(共通条件・結果!$AA$7="８地域",0.01*(16+19*(2*R17+T17)/P17),0.01*(24+9*(3*R17+T17)/P17))</f>
        <v>#DIV/0!</v>
      </c>
      <c r="AL17" s="2" t="e">
        <f t="shared" si="8"/>
        <v>#DIV/0!</v>
      </c>
      <c r="AN17" s="2">
        <f t="shared" si="9"/>
        <v>0</v>
      </c>
      <c r="AO17" s="19" t="str">
        <f t="shared" si="1"/>
        <v>FALSE</v>
      </c>
    </row>
    <row r="18" spans="2:41" s="2" customFormat="1" ht="21.95" customHeight="1">
      <c r="B18" s="230"/>
      <c r="C18" s="331"/>
      <c r="D18" s="332"/>
      <c r="E18" s="333"/>
      <c r="F18" s="333"/>
      <c r="G18" s="334"/>
      <c r="H18" s="236"/>
      <c r="I18" s="236"/>
      <c r="J18" s="236"/>
      <c r="K18" s="236"/>
      <c r="L18" s="281"/>
      <c r="M18" s="281"/>
      <c r="N18" s="323"/>
      <c r="O18" s="324"/>
      <c r="P18" s="325"/>
      <c r="Q18" s="326"/>
      <c r="R18" s="327"/>
      <c r="S18" s="328"/>
      <c r="T18" s="329"/>
      <c r="U18" s="325"/>
      <c r="V18" s="215" t="str">
        <f t="shared" si="2"/>
        <v/>
      </c>
      <c r="W18" s="216"/>
      <c r="X18" s="217" t="str">
        <f t="shared" si="0"/>
        <v/>
      </c>
      <c r="Y18" s="217"/>
      <c r="Z18" s="217" t="str">
        <f t="shared" si="3"/>
        <v/>
      </c>
      <c r="AA18" s="218"/>
      <c r="AD18" s="2" t="e">
        <f t="shared" si="4"/>
        <v>#VALUE!</v>
      </c>
      <c r="AE18" s="2" t="e">
        <f t="shared" si="5"/>
        <v>#VALUE!</v>
      </c>
      <c r="AG18" s="37" t="b">
        <v>0</v>
      </c>
      <c r="AH18" s="2" t="str">
        <f t="shared" si="6"/>
        <v>エラー</v>
      </c>
      <c r="AI18" s="2" t="str">
        <f t="shared" si="7"/>
        <v>エラー</v>
      </c>
      <c r="AK18" s="2" t="e">
        <f>IF(共通条件・結果!$AA$7="８地域",0.01*(16+19*(2*R18+T18)/P18),0.01*(24+9*(3*R18+T18)/P18))</f>
        <v>#DIV/0!</v>
      </c>
      <c r="AL18" s="2" t="e">
        <f t="shared" si="8"/>
        <v>#DIV/0!</v>
      </c>
      <c r="AN18" s="2">
        <f t="shared" si="9"/>
        <v>0</v>
      </c>
      <c r="AO18" s="19" t="str">
        <f t="shared" si="1"/>
        <v>FALSE</v>
      </c>
    </row>
    <row r="19" spans="2:41" s="2" customFormat="1" ht="21.95" customHeight="1" thickBot="1">
      <c r="B19" s="219"/>
      <c r="C19" s="316"/>
      <c r="D19" s="277"/>
      <c r="E19" s="278"/>
      <c r="F19" s="278"/>
      <c r="G19" s="279"/>
      <c r="H19" s="280"/>
      <c r="I19" s="280"/>
      <c r="J19" s="280"/>
      <c r="K19" s="280"/>
      <c r="L19" s="317"/>
      <c r="M19" s="317"/>
      <c r="N19" s="318"/>
      <c r="O19" s="319"/>
      <c r="P19" s="315"/>
      <c r="Q19" s="320"/>
      <c r="R19" s="321"/>
      <c r="S19" s="322"/>
      <c r="T19" s="314"/>
      <c r="U19" s="315"/>
      <c r="V19" s="215" t="str">
        <f t="shared" si="2"/>
        <v/>
      </c>
      <c r="W19" s="216"/>
      <c r="X19" s="217" t="str">
        <f t="shared" si="0"/>
        <v/>
      </c>
      <c r="Y19" s="217"/>
      <c r="Z19" s="226" t="str">
        <f t="shared" si="3"/>
        <v/>
      </c>
      <c r="AA19" s="229"/>
      <c r="AD19" s="2" t="e">
        <f t="shared" si="4"/>
        <v>#VALUE!</v>
      </c>
      <c r="AE19" s="2" t="e">
        <f t="shared" si="5"/>
        <v>#VALUE!</v>
      </c>
      <c r="AG19" s="37" t="b">
        <v>0</v>
      </c>
      <c r="AH19" s="2" t="str">
        <f t="shared" si="6"/>
        <v>エラー</v>
      </c>
      <c r="AI19" s="2" t="str">
        <f t="shared" si="7"/>
        <v>エラー</v>
      </c>
      <c r="AK19" s="2" t="e">
        <f>IF(共通条件・結果!$AA$7="８地域",0.01*(16+19*(2*R19+T19)/P19),0.01*(24+9*(3*R19+T19)/P19))</f>
        <v>#DIV/0!</v>
      </c>
      <c r="AL19" s="2" t="e">
        <f t="shared" si="8"/>
        <v>#DIV/0!</v>
      </c>
      <c r="AN19" s="2">
        <f t="shared" si="9"/>
        <v>0</v>
      </c>
      <c r="AO19" s="19" t="str">
        <f t="shared" si="1"/>
        <v>FALSE</v>
      </c>
    </row>
    <row r="20" spans="2:41" s="2" customFormat="1" ht="21.95" customHeight="1" thickBot="1">
      <c r="B20" s="200" t="s">
        <v>201</v>
      </c>
      <c r="C20" s="201"/>
      <c r="D20" s="201"/>
      <c r="E20" s="201"/>
      <c r="F20" s="201"/>
      <c r="G20" s="201"/>
      <c r="H20" s="201"/>
      <c r="I20" s="201"/>
      <c r="J20" s="201"/>
      <c r="K20" s="201"/>
      <c r="L20" s="201"/>
      <c r="M20" s="201"/>
      <c r="N20" s="201"/>
      <c r="O20" s="201"/>
      <c r="P20" s="201"/>
      <c r="Q20" s="201"/>
      <c r="R20" s="201"/>
      <c r="S20" s="201"/>
      <c r="T20" s="201"/>
      <c r="U20" s="201"/>
      <c r="V20" s="202">
        <f>SUM(V8:W19)</f>
        <v>0</v>
      </c>
      <c r="W20" s="202"/>
      <c r="X20" s="202">
        <f>IF(共通条件・結果!AA7="８地域","-",SUM(X8:Y19))</f>
        <v>0</v>
      </c>
      <c r="Y20" s="202"/>
      <c r="Z20" s="202">
        <f>SUM(Z8:AA19)</f>
        <v>0</v>
      </c>
      <c r="AA20" s="203"/>
    </row>
    <row r="21" spans="2:41" s="2" customFormat="1" ht="9.9499999999999993" customHeight="1">
      <c r="AN21" s="287"/>
      <c r="AO21" s="287"/>
    </row>
    <row r="22" spans="2:41" s="2" customFormat="1" ht="21.95" customHeight="1" thickBot="1">
      <c r="E22" s="4"/>
      <c r="J22" s="4" t="s">
        <v>13</v>
      </c>
    </row>
    <row r="23" spans="2:41" s="2" customFormat="1" ht="21.95" customHeight="1">
      <c r="J23" s="248" t="s">
        <v>14</v>
      </c>
      <c r="K23" s="195"/>
      <c r="L23" s="195"/>
      <c r="M23" s="249"/>
      <c r="N23" s="302" t="s">
        <v>140</v>
      </c>
      <c r="O23" s="195"/>
      <c r="P23" s="195"/>
      <c r="Q23" s="249"/>
      <c r="R23" s="266" t="s">
        <v>141</v>
      </c>
      <c r="S23" s="178"/>
      <c r="T23" s="306" t="s">
        <v>9</v>
      </c>
      <c r="U23" s="307"/>
      <c r="V23" s="254" t="s">
        <v>145</v>
      </c>
      <c r="W23" s="255"/>
      <c r="X23" s="254" t="s">
        <v>143</v>
      </c>
      <c r="Y23" s="255"/>
      <c r="Z23" s="254" t="s">
        <v>110</v>
      </c>
      <c r="AA23" s="196"/>
      <c r="AN23" s="287" t="s">
        <v>58</v>
      </c>
      <c r="AO23" s="287"/>
    </row>
    <row r="24" spans="2:41" s="2" customFormat="1" ht="21.95" customHeight="1">
      <c r="J24" s="250"/>
      <c r="K24" s="287"/>
      <c r="L24" s="287"/>
      <c r="M24" s="251"/>
      <c r="N24" s="303"/>
      <c r="O24" s="304"/>
      <c r="P24" s="304"/>
      <c r="Q24" s="305"/>
      <c r="R24" s="269"/>
      <c r="S24" s="267"/>
      <c r="T24" s="308"/>
      <c r="U24" s="309"/>
      <c r="V24" s="256"/>
      <c r="W24" s="257"/>
      <c r="X24" s="256"/>
      <c r="Y24" s="257"/>
      <c r="Z24" s="298"/>
      <c r="AA24" s="299"/>
      <c r="AN24" s="19"/>
      <c r="AO24" s="19"/>
    </row>
    <row r="25" spans="2:41" s="2" customFormat="1" ht="21.95" customHeight="1" thickBot="1">
      <c r="J25" s="252"/>
      <c r="K25" s="297"/>
      <c r="L25" s="297"/>
      <c r="M25" s="253"/>
      <c r="N25" s="311" t="s">
        <v>8</v>
      </c>
      <c r="O25" s="312"/>
      <c r="P25" s="313" t="s">
        <v>7</v>
      </c>
      <c r="Q25" s="268"/>
      <c r="R25" s="268"/>
      <c r="S25" s="268"/>
      <c r="T25" s="310"/>
      <c r="U25" s="310"/>
      <c r="V25" s="258"/>
      <c r="W25" s="259"/>
      <c r="X25" s="258"/>
      <c r="Y25" s="259"/>
      <c r="Z25" s="300"/>
      <c r="AA25" s="301"/>
      <c r="AN25" s="45" t="s">
        <v>56</v>
      </c>
      <c r="AO25" s="2" t="s">
        <v>54</v>
      </c>
    </row>
    <row r="26" spans="2:41" s="2" customFormat="1" ht="21.95" customHeight="1">
      <c r="D26" s="56"/>
      <c r="E26" s="56"/>
      <c r="J26" s="288"/>
      <c r="K26" s="289"/>
      <c r="L26" s="289"/>
      <c r="M26" s="290"/>
      <c r="N26" s="291"/>
      <c r="O26" s="292"/>
      <c r="P26" s="292"/>
      <c r="Q26" s="293"/>
      <c r="R26" s="245"/>
      <c r="S26" s="245"/>
      <c r="T26" s="294"/>
      <c r="U26" s="294"/>
      <c r="V26" s="246" t="str">
        <f>IF(N26="","",N26*P26*R26*0.034*$V$4)</f>
        <v/>
      </c>
      <c r="W26" s="246"/>
      <c r="X26" s="246" t="str">
        <f>IF(N26="","",IF(ISERROR(N26*P26*R26*0.034*$X$4),"-",N26*P26*R26*0.034*$X$4))</f>
        <v/>
      </c>
      <c r="Y26" s="246"/>
      <c r="Z26" s="246" t="str">
        <f>IF(N26="","",N26*P26*AN26)</f>
        <v/>
      </c>
      <c r="AA26" s="247"/>
      <c r="AD26" s="37"/>
      <c r="AN26" s="2">
        <f>IF(AO26="FALSE",R26,IF(T26="風除室",1/((1/R26)+0.1),0.5*R26+0.5*(1/((1/R26)+AO26))))</f>
        <v>0</v>
      </c>
      <c r="AO26" s="19" t="str">
        <f>IF(T26="","FALSE",IF(T26="雨戸",0.1,IF(T26="ｼｬｯﾀｰ",0.1,IF(T26="障子",0.18,IF(T26="風除室",0.1)))))</f>
        <v>FALSE</v>
      </c>
    </row>
    <row r="27" spans="2:41" s="2" customFormat="1" ht="21.95" customHeight="1">
      <c r="D27" s="56"/>
      <c r="E27" s="56"/>
      <c r="J27" s="282"/>
      <c r="K27" s="283"/>
      <c r="L27" s="283"/>
      <c r="M27" s="284"/>
      <c r="N27" s="232"/>
      <c r="O27" s="285"/>
      <c r="P27" s="286"/>
      <c r="Q27" s="233"/>
      <c r="R27" s="232"/>
      <c r="S27" s="233"/>
      <c r="T27" s="295"/>
      <c r="U27" s="296"/>
      <c r="V27" s="215" t="str">
        <f>IF(N27="","",N27*P27*R27*0.034*$V$4)</f>
        <v/>
      </c>
      <c r="W27" s="216"/>
      <c r="X27" s="215" t="str">
        <f>IF(N27="","",IF(ISERROR(N27*P27*R27*0.034*$X$4),"-",N27*P27*R27*0.034*$X$4))</f>
        <v/>
      </c>
      <c r="Y27" s="216"/>
      <c r="Z27" s="215" t="str">
        <f>IF(N27="","",N27*P27*AN27)</f>
        <v/>
      </c>
      <c r="AA27" s="238"/>
      <c r="AD27" s="37"/>
      <c r="AN27" s="2">
        <f>IF(AO27="FALSE",R27,IF(T27="風除室",1/((1/R27)+0.1),0.5*R27+0.5*(1/((1/R27)+AO27))))</f>
        <v>0</v>
      </c>
      <c r="AO27" s="19" t="str">
        <f>IF(T27="","FALSE",IF(T27="雨戸",0.1,IF(T27="ｼｬｯﾀｰ",0.1,IF(T27="障子",0.18,IF(T27="風除室",0.1)))))</f>
        <v>FALSE</v>
      </c>
    </row>
    <row r="28" spans="2:41" s="2" customFormat="1" ht="21.95" customHeight="1" thickBot="1">
      <c r="D28" s="56"/>
      <c r="E28" s="56"/>
      <c r="J28" s="274"/>
      <c r="K28" s="275"/>
      <c r="L28" s="275"/>
      <c r="M28" s="276"/>
      <c r="N28" s="277"/>
      <c r="O28" s="278"/>
      <c r="P28" s="278"/>
      <c r="Q28" s="279"/>
      <c r="R28" s="280"/>
      <c r="S28" s="280"/>
      <c r="T28" s="281" t="s">
        <v>44</v>
      </c>
      <c r="U28" s="281"/>
      <c r="V28" s="270" t="str">
        <f>IF(N28="","",N28*P28*R28*0.034*$V$4)</f>
        <v/>
      </c>
      <c r="W28" s="270"/>
      <c r="X28" s="270" t="str">
        <f>IF(N28="","",IF(ISERROR(N28*P28*R28*0.034*$X$4),"-",N28*P28*R28*0.034*$X$4))</f>
        <v/>
      </c>
      <c r="Y28" s="270"/>
      <c r="Z28" s="270" t="str">
        <f>IF(N28="","",N28*P28*AN28)</f>
        <v/>
      </c>
      <c r="AA28" s="271"/>
      <c r="AD28" s="37"/>
      <c r="AN28" s="2" t="e">
        <f>IF(AO28="FALSE",R28,IF(T28="風除室",1/((1/R28)+0.1),0.5*R28+0.5*(1/((1/R28)+AO28))))</f>
        <v>#DIV/0!</v>
      </c>
      <c r="AO28" s="19" t="b">
        <f>IF(T28="","FALSE",IF(T28="雨戸",0.1,IF(T28="ｼｬｯﾀｰ",0.1,IF(T28="障子",0.18,IF(T28="風除室",0.1)))))</f>
        <v>0</v>
      </c>
    </row>
    <row r="29" spans="2:41" s="2" customFormat="1" ht="21.95" customHeight="1" thickBot="1">
      <c r="J29" s="200" t="s">
        <v>202</v>
      </c>
      <c r="K29" s="201"/>
      <c r="L29" s="201"/>
      <c r="M29" s="201"/>
      <c r="N29" s="201"/>
      <c r="O29" s="201"/>
      <c r="P29" s="201"/>
      <c r="Q29" s="201"/>
      <c r="R29" s="201"/>
      <c r="S29" s="201"/>
      <c r="T29" s="201"/>
      <c r="U29" s="348"/>
      <c r="V29" s="202">
        <f>SUM(V26:W28)</f>
        <v>0</v>
      </c>
      <c r="W29" s="202"/>
      <c r="X29" s="202">
        <f>SUM(X26:Y28)</f>
        <v>0</v>
      </c>
      <c r="Y29" s="202"/>
      <c r="Z29" s="202">
        <f>SUM(Z26:AA28)</f>
        <v>0</v>
      </c>
      <c r="AA29" s="203"/>
      <c r="AO29" s="19"/>
    </row>
    <row r="30" spans="2:41" s="2" customFormat="1" ht="9.9499999999999993" customHeight="1">
      <c r="J30" s="23"/>
      <c r="K30" s="23"/>
      <c r="L30" s="23"/>
      <c r="M30" s="23"/>
      <c r="N30" s="23"/>
      <c r="O30" s="23"/>
      <c r="P30" s="23"/>
      <c r="Q30" s="23"/>
      <c r="R30" s="23"/>
      <c r="S30" s="23"/>
      <c r="T30" s="23"/>
      <c r="U30" s="23"/>
      <c r="V30" s="46"/>
      <c r="W30" s="46"/>
      <c r="X30" s="46"/>
      <c r="Y30" s="46"/>
      <c r="Z30" s="46"/>
      <c r="AA30" s="46"/>
      <c r="AO30" s="19"/>
    </row>
    <row r="31" spans="2:41" s="2" customFormat="1" ht="21.95" customHeight="1" thickBot="1">
      <c r="J31" s="4" t="s">
        <v>15</v>
      </c>
      <c r="K31" s="4"/>
      <c r="L31" s="4"/>
      <c r="AO31" s="19"/>
    </row>
    <row r="32" spans="2:41" s="2" customFormat="1" ht="21.95" customHeight="1">
      <c r="J32" s="248" t="s">
        <v>0</v>
      </c>
      <c r="K32" s="249"/>
      <c r="L32" s="254" t="s">
        <v>146</v>
      </c>
      <c r="M32" s="255"/>
      <c r="N32" s="254" t="s">
        <v>147</v>
      </c>
      <c r="O32" s="255"/>
      <c r="P32" s="260" t="s">
        <v>148</v>
      </c>
      <c r="Q32" s="261"/>
      <c r="R32" s="266" t="s">
        <v>141</v>
      </c>
      <c r="S32" s="178"/>
      <c r="T32" s="266" t="s">
        <v>145</v>
      </c>
      <c r="U32" s="178"/>
      <c r="V32" s="266" t="s">
        <v>143</v>
      </c>
      <c r="W32" s="178"/>
      <c r="X32" s="266" t="s">
        <v>110</v>
      </c>
      <c r="Y32" s="179"/>
      <c r="AO32" s="19"/>
    </row>
    <row r="33" spans="2:41" s="2" customFormat="1" ht="21.95" customHeight="1">
      <c r="J33" s="250"/>
      <c r="K33" s="251"/>
      <c r="L33" s="256"/>
      <c r="M33" s="257"/>
      <c r="N33" s="256"/>
      <c r="O33" s="257"/>
      <c r="P33" s="262"/>
      <c r="Q33" s="263"/>
      <c r="R33" s="267"/>
      <c r="S33" s="267"/>
      <c r="T33" s="269"/>
      <c r="U33" s="267"/>
      <c r="V33" s="269"/>
      <c r="W33" s="267"/>
      <c r="X33" s="267"/>
      <c r="Y33" s="272"/>
      <c r="AO33" s="19"/>
    </row>
    <row r="34" spans="2:41" s="2" customFormat="1" ht="21.95" customHeight="1" thickBot="1">
      <c r="J34" s="252"/>
      <c r="K34" s="253"/>
      <c r="L34" s="258"/>
      <c r="M34" s="259"/>
      <c r="N34" s="258"/>
      <c r="O34" s="259"/>
      <c r="P34" s="264"/>
      <c r="Q34" s="265"/>
      <c r="R34" s="268"/>
      <c r="S34" s="268"/>
      <c r="T34" s="268"/>
      <c r="U34" s="268"/>
      <c r="V34" s="268"/>
      <c r="W34" s="268"/>
      <c r="X34" s="268"/>
      <c r="Y34" s="273"/>
    </row>
    <row r="35" spans="2:41" s="2" customFormat="1" ht="21.95" customHeight="1">
      <c r="J35" s="239"/>
      <c r="K35" s="240"/>
      <c r="L35" s="241"/>
      <c r="M35" s="242"/>
      <c r="N35" s="241"/>
      <c r="O35" s="242"/>
      <c r="P35" s="243" t="str">
        <f>IF(L35="","",L35-N35)</f>
        <v/>
      </c>
      <c r="Q35" s="244"/>
      <c r="R35" s="245"/>
      <c r="S35" s="245"/>
      <c r="T35" s="217" t="str">
        <f>IF(P35="","",P35*R35*0.034*$V$4)</f>
        <v/>
      </c>
      <c r="U35" s="217"/>
      <c r="V35" s="215" t="str">
        <f>IF(P35="","",IF(ISERROR(P35*R35*0.034*$X$4),"-",P35*R35*0.034*$X$4))</f>
        <v/>
      </c>
      <c r="W35" s="216"/>
      <c r="X35" s="246" t="str">
        <f>IF(R35="","",R35*P35)</f>
        <v/>
      </c>
      <c r="Y35" s="247"/>
      <c r="AD35" s="37"/>
      <c r="AE35" s="37"/>
      <c r="AF35" s="37"/>
    </row>
    <row r="36" spans="2:41" s="2" customFormat="1" ht="21.95" customHeight="1">
      <c r="J36" s="230"/>
      <c r="K36" s="231"/>
      <c r="L36" s="232"/>
      <c r="M36" s="233"/>
      <c r="N36" s="232"/>
      <c r="O36" s="233"/>
      <c r="P36" s="234" t="str">
        <f t="shared" ref="P36:P37" si="10">IF(L36="","",L36-N36)</f>
        <v/>
      </c>
      <c r="Q36" s="235"/>
      <c r="R36" s="232"/>
      <c r="S36" s="233"/>
      <c r="T36" s="215" t="str">
        <f t="shared" ref="T36:T39" si="11">IF(P36="","",P36*R36*0.034*$V$4)</f>
        <v/>
      </c>
      <c r="U36" s="216"/>
      <c r="V36" s="215" t="str">
        <f t="shared" ref="V36:V39" si="12">IF(P36="","",IF(ISERROR(P36*R36*0.034*$X$4),"-",P36*R36*0.034*$X$4))</f>
        <v/>
      </c>
      <c r="W36" s="216"/>
      <c r="X36" s="215" t="str">
        <f t="shared" ref="X36:X39" si="13">IF(R36="","",R36*P36)</f>
        <v/>
      </c>
      <c r="Y36" s="238"/>
      <c r="AD36" s="37"/>
      <c r="AE36" s="37"/>
      <c r="AF36" s="37"/>
    </row>
    <row r="37" spans="2:41" s="2" customFormat="1" ht="21.95" customHeight="1">
      <c r="J37" s="230"/>
      <c r="K37" s="231"/>
      <c r="L37" s="232"/>
      <c r="M37" s="233"/>
      <c r="N37" s="232"/>
      <c r="O37" s="233"/>
      <c r="P37" s="234" t="str">
        <f t="shared" si="10"/>
        <v/>
      </c>
      <c r="Q37" s="235"/>
      <c r="R37" s="232"/>
      <c r="S37" s="233"/>
      <c r="T37" s="215" t="str">
        <f t="shared" si="11"/>
        <v/>
      </c>
      <c r="U37" s="216"/>
      <c r="V37" s="215" t="str">
        <f t="shared" si="12"/>
        <v/>
      </c>
      <c r="W37" s="216"/>
      <c r="X37" s="215" t="str">
        <f t="shared" si="13"/>
        <v/>
      </c>
      <c r="Y37" s="238"/>
      <c r="AD37" s="37"/>
      <c r="AE37" s="37"/>
      <c r="AF37" s="37"/>
    </row>
    <row r="38" spans="2:41" s="2" customFormat="1" ht="21.95" customHeight="1">
      <c r="J38" s="230"/>
      <c r="K38" s="231"/>
      <c r="L38" s="232"/>
      <c r="M38" s="233"/>
      <c r="N38" s="232"/>
      <c r="O38" s="233"/>
      <c r="P38" s="234" t="str">
        <f>IF(L38="","",L38-N38)</f>
        <v/>
      </c>
      <c r="Q38" s="235"/>
      <c r="R38" s="236"/>
      <c r="S38" s="236"/>
      <c r="T38" s="217" t="str">
        <f t="shared" si="11"/>
        <v/>
      </c>
      <c r="U38" s="217"/>
      <c r="V38" s="215" t="str">
        <f t="shared" si="12"/>
        <v/>
      </c>
      <c r="W38" s="216"/>
      <c r="X38" s="217" t="str">
        <f t="shared" si="13"/>
        <v/>
      </c>
      <c r="Y38" s="218"/>
      <c r="AD38" s="37"/>
      <c r="AE38" s="37"/>
      <c r="AF38" s="37"/>
    </row>
    <row r="39" spans="2:41" s="2" customFormat="1" ht="21.95" customHeight="1" thickBot="1">
      <c r="J39" s="219"/>
      <c r="K39" s="220"/>
      <c r="L39" s="221"/>
      <c r="M39" s="222"/>
      <c r="N39" s="221"/>
      <c r="O39" s="222"/>
      <c r="P39" s="223" t="str">
        <f>IF(L39="","",L39-N39)</f>
        <v/>
      </c>
      <c r="Q39" s="224"/>
      <c r="R39" s="225"/>
      <c r="S39" s="225"/>
      <c r="T39" s="226" t="str">
        <f t="shared" si="11"/>
        <v/>
      </c>
      <c r="U39" s="226"/>
      <c r="V39" s="227" t="str">
        <f t="shared" si="12"/>
        <v/>
      </c>
      <c r="W39" s="228"/>
      <c r="X39" s="226" t="str">
        <f t="shared" si="13"/>
        <v/>
      </c>
      <c r="Y39" s="229"/>
      <c r="AD39" s="37"/>
      <c r="AE39" s="37"/>
      <c r="AF39" s="37"/>
    </row>
    <row r="40" spans="2:41" s="2" customFormat="1" ht="21.95" customHeight="1" thickBot="1">
      <c r="J40" s="200" t="s">
        <v>203</v>
      </c>
      <c r="K40" s="201"/>
      <c r="L40" s="201"/>
      <c r="M40" s="201"/>
      <c r="N40" s="201"/>
      <c r="O40" s="201"/>
      <c r="P40" s="201"/>
      <c r="Q40" s="201"/>
      <c r="R40" s="201"/>
      <c r="S40" s="201"/>
      <c r="T40" s="202">
        <f>SUM(T35:U39)</f>
        <v>0</v>
      </c>
      <c r="U40" s="202"/>
      <c r="V40" s="202">
        <f>IF(共通条件・結果!AA7="８地域","-",SUM(V35:W39))</f>
        <v>0</v>
      </c>
      <c r="W40" s="202"/>
      <c r="X40" s="202">
        <f>SUM(X35:Y39)</f>
        <v>0</v>
      </c>
      <c r="Y40" s="203"/>
    </row>
    <row r="41" spans="2:41" s="2" customFormat="1" ht="12">
      <c r="J41" s="47"/>
    </row>
    <row r="42" spans="2:41" s="2" customFormat="1" ht="21.95" customHeight="1" thickBot="1">
      <c r="B42" s="4" t="s">
        <v>204</v>
      </c>
    </row>
    <row r="43" spans="2:41" s="2" customFormat="1" ht="21.95" customHeight="1">
      <c r="B43" s="204" t="s">
        <v>181</v>
      </c>
      <c r="C43" s="205"/>
      <c r="D43" s="136" t="s">
        <v>37</v>
      </c>
      <c r="E43" s="137"/>
      <c r="F43" s="137"/>
      <c r="G43" s="137"/>
      <c r="H43" s="137"/>
      <c r="I43" s="137"/>
      <c r="J43" s="138"/>
      <c r="K43" s="9"/>
      <c r="L43" s="210">
        <f>Q43+U43+Y43</f>
        <v>0</v>
      </c>
      <c r="M43" s="210"/>
      <c r="N43" s="210"/>
      <c r="O43" s="9" t="s">
        <v>22</v>
      </c>
      <c r="P43" s="10" t="s">
        <v>21</v>
      </c>
      <c r="Q43" s="211">
        <f>D8*F8+D9*F9+D10*F10+D11*F11+D12*F12+D13*F13+D14*F14+D15*F15+D16*F16+D17*F17+D18*F18+D19*F19</f>
        <v>0</v>
      </c>
      <c r="R43" s="211"/>
      <c r="S43" s="48" t="s">
        <v>23</v>
      </c>
      <c r="T43" s="48" t="s">
        <v>20</v>
      </c>
      <c r="U43" s="212">
        <f>N26*P26+N27*P27+N28*P28</f>
        <v>0</v>
      </c>
      <c r="V43" s="212"/>
      <c r="W43" s="48" t="s">
        <v>23</v>
      </c>
      <c r="X43" s="48" t="s">
        <v>1</v>
      </c>
      <c r="Y43" s="214">
        <f>SUM(P35:Q39)</f>
        <v>0</v>
      </c>
      <c r="Z43" s="214"/>
      <c r="AA43" s="49" t="s">
        <v>17</v>
      </c>
    </row>
    <row r="44" spans="2:41" s="2" customFormat="1" ht="21.95" customHeight="1">
      <c r="B44" s="206"/>
      <c r="C44" s="207"/>
      <c r="D44" s="141" t="s">
        <v>47</v>
      </c>
      <c r="E44" s="142"/>
      <c r="F44" s="142"/>
      <c r="G44" s="142"/>
      <c r="H44" s="142"/>
      <c r="I44" s="142"/>
      <c r="J44" s="143"/>
      <c r="K44" s="8"/>
      <c r="L44" s="8"/>
      <c r="M44" s="8"/>
      <c r="N44" s="8"/>
      <c r="O44" s="8"/>
      <c r="P44" s="8"/>
      <c r="Q44" s="8"/>
      <c r="R44" s="8"/>
      <c r="S44" s="8"/>
      <c r="T44" s="8"/>
      <c r="U44" s="8"/>
      <c r="V44" s="8"/>
      <c r="W44" s="197">
        <f>V20+V29+T40</f>
        <v>0</v>
      </c>
      <c r="X44" s="197"/>
      <c r="Y44" s="197"/>
      <c r="Z44" s="198" t="s">
        <v>113</v>
      </c>
      <c r="AA44" s="199"/>
    </row>
    <row r="45" spans="2:41" s="2" customFormat="1" ht="21.95" customHeight="1">
      <c r="B45" s="206"/>
      <c r="C45" s="207"/>
      <c r="D45" s="141" t="s">
        <v>48</v>
      </c>
      <c r="E45" s="142"/>
      <c r="F45" s="142"/>
      <c r="G45" s="142"/>
      <c r="H45" s="142"/>
      <c r="I45" s="142"/>
      <c r="J45" s="143"/>
      <c r="K45" s="8"/>
      <c r="L45" s="8"/>
      <c r="M45" s="8"/>
      <c r="N45" s="8"/>
      <c r="O45" s="8"/>
      <c r="P45" s="8"/>
      <c r="Q45" s="8"/>
      <c r="R45" s="8"/>
      <c r="S45" s="8"/>
      <c r="T45" s="8"/>
      <c r="U45" s="8"/>
      <c r="V45" s="8"/>
      <c r="W45" s="197">
        <f>IF(共通条件・結果!AA7="８地域","-",$X$20+$X$29+$V$40)</f>
        <v>0</v>
      </c>
      <c r="X45" s="197"/>
      <c r="Y45" s="197"/>
      <c r="Z45" s="198" t="s">
        <v>113</v>
      </c>
      <c r="AA45" s="199"/>
    </row>
    <row r="46" spans="2:41" s="2" customFormat="1" ht="21.95" customHeight="1" thickBot="1">
      <c r="B46" s="208"/>
      <c r="C46" s="209"/>
      <c r="D46" s="180" t="s">
        <v>18</v>
      </c>
      <c r="E46" s="181"/>
      <c r="F46" s="181"/>
      <c r="G46" s="181"/>
      <c r="H46" s="181"/>
      <c r="I46" s="181"/>
      <c r="J46" s="182"/>
      <c r="K46" s="7"/>
      <c r="L46" s="7"/>
      <c r="M46" s="7"/>
      <c r="N46" s="7"/>
      <c r="O46" s="7"/>
      <c r="P46" s="7"/>
      <c r="Q46" s="7"/>
      <c r="R46" s="7"/>
      <c r="S46" s="7"/>
      <c r="T46" s="7"/>
      <c r="U46" s="7"/>
      <c r="V46" s="7"/>
      <c r="W46" s="237">
        <f>Z20+Z29+X40</f>
        <v>0</v>
      </c>
      <c r="X46" s="237"/>
      <c r="Y46" s="237"/>
      <c r="Z46" s="44" t="s">
        <v>19</v>
      </c>
      <c r="AA46" s="50"/>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mSpArZcR2REOUTORR2eS9m6ml5Olp+kiymHMxBUHR8KvXS5GwN+SiiQP3mDX3FO8nXWDoPCM8a7yYCbTAc9iVg==" saltValue="eUSS70ldQCBwzK/hnOHV9A==" spinCount="100000" sheet="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B8:U19">
    <cfRule type="expression" dxfId="74" priority="155" stopIfTrue="1">
      <formula>$AE$2&lt;&gt;2</formula>
    </cfRule>
  </conditionalFormatting>
  <conditionalFormatting sqref="J35:O39">
    <cfRule type="expression" dxfId="73" priority="81" stopIfTrue="1">
      <formula>$AE$2&lt;&gt;2</formula>
    </cfRule>
  </conditionalFormatting>
  <conditionalFormatting sqref="J26:U28">
    <cfRule type="expression" dxfId="72" priority="119" stopIfTrue="1">
      <formula>$AE$2&lt;&gt;2</formula>
    </cfRule>
  </conditionalFormatting>
  <conditionalFormatting sqref="L43:N43">
    <cfRule type="expression" dxfId="71" priority="7">
      <formula>$AE$2&lt;&gt;2</formula>
    </cfRule>
  </conditionalFormatting>
  <conditionalFormatting sqref="P35:Q39">
    <cfRule type="expression" dxfId="70" priority="14">
      <formula>$AE$2&lt;&gt;2</formula>
    </cfRule>
  </conditionalFormatting>
  <conditionalFormatting sqref="Q43:R43">
    <cfRule type="expression" dxfId="69" priority="6">
      <formula>$AE$2&lt;&gt;2</formula>
    </cfRule>
  </conditionalFormatting>
  <conditionalFormatting sqref="R35:S39">
    <cfRule type="expression" dxfId="68" priority="79" stopIfTrue="1">
      <formula>$AE$2&lt;&gt;2</formula>
    </cfRule>
  </conditionalFormatting>
  <conditionalFormatting sqref="T35:Y40">
    <cfRule type="expression" dxfId="67" priority="8">
      <formula>$AE$2&lt;&gt;2</formula>
    </cfRule>
  </conditionalFormatting>
  <conditionalFormatting sqref="U43:V43">
    <cfRule type="expression" dxfId="66" priority="5">
      <formula>$AE$2&lt;&gt;2</formula>
    </cfRule>
  </conditionalFormatting>
  <conditionalFormatting sqref="V8:AA19">
    <cfRule type="expression" dxfId="65" priority="43">
      <formula>$AE$2&lt;&gt;2</formula>
    </cfRule>
  </conditionalFormatting>
  <conditionalFormatting sqref="V26:AA29">
    <cfRule type="expression" dxfId="64" priority="31">
      <formula>$AE$2&lt;&gt;2</formula>
    </cfRule>
  </conditionalFormatting>
  <conditionalFormatting sqref="W44:Y46">
    <cfRule type="expression" dxfId="63" priority="1">
      <formula>$AE$2&lt;&gt;2</formula>
    </cfRule>
  </conditionalFormatting>
  <conditionalFormatting sqref="Y43:Z43">
    <cfRule type="expression" dxfId="62" priority="4">
      <formula>$AE$2&lt;&gt;2</formula>
    </cfRule>
  </conditionalFormatting>
  <dataValidations count="1">
    <dataValidation type="list" allowBlank="1" showInputMessage="1" showErrorMessage="1" sqref="M14:M19 L8:L19 M8:M11 T26:T28 U26 U28" xr:uid="{00000000-0002-0000-05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20834"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20835"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20836"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20837"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20838"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20839"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20840"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20841"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20842"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20843"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20844"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AS108"/>
  <sheetViews>
    <sheetView view="pageBreakPreview" zoomScale="85" zoomScaleNormal="100" zoomScaleSheetLayoutView="85" workbookViewId="0">
      <selection activeCell="B12" sqref="B12:C12"/>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361" t="s">
        <v>195</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E2" s="101">
        <f>共通条件・結果!AE2</f>
        <v>1</v>
      </c>
    </row>
    <row r="3" spans="2:41" s="2" customFormat="1" ht="24.95" customHeight="1" thickBot="1">
      <c r="AE3" s="2" t="s">
        <v>271</v>
      </c>
    </row>
    <row r="4" spans="2:41" s="2" customFormat="1" ht="21.95" customHeight="1" thickBot="1">
      <c r="B4" s="4" t="s">
        <v>5</v>
      </c>
      <c r="R4" s="362" t="s">
        <v>33</v>
      </c>
      <c r="S4" s="363"/>
      <c r="T4" s="363"/>
      <c r="U4" s="364"/>
      <c r="V4" s="365" t="b">
        <f>IF(共通条件・結果!AA7="８地域","0.517",IF(共通条件・結果!AA7="７地域",0.479,IF(共通条件・結果!AA7="６地域",0.491,IF(共通条件・結果!AA7="５地域",0.52,IF(共通条件・結果!AA7="４地域",0.481,IF(共通条件・結果!AA7="３地域",0.55,IF(共通条件・結果!AA7="２地域",0.548,IF(共通条件・結果!AA7="１地域",0.526))))))))</f>
        <v>0</v>
      </c>
      <c r="W4" s="366"/>
      <c r="X4" s="365" t="b">
        <f>IF(共通条件・結果!AA7="８地域","-",IF(共通条件・結果!AA7="７地域",0.848,IF(共通条件・結果!AA7="６地域",0.763,IF(共通条件・結果!AA7="５地域",0.815,IF(共通条件・結果!AA7="４地域",0.723,IF(共通条件・結果!AA7="３地域",0.75,IF(共通条件・結果!AA7="２地域",0.753,IF(共通条件・結果!AA7="１地域",0.79))))))))</f>
        <v>0</v>
      </c>
      <c r="Y4" s="366"/>
    </row>
    <row r="5" spans="2:41" s="2" customFormat="1" ht="21.95" customHeight="1">
      <c r="B5" s="367" t="s">
        <v>6</v>
      </c>
      <c r="C5" s="178"/>
      <c r="D5" s="178" t="s">
        <v>140</v>
      </c>
      <c r="E5" s="178"/>
      <c r="F5" s="178"/>
      <c r="G5" s="178"/>
      <c r="H5" s="266" t="s">
        <v>141</v>
      </c>
      <c r="I5" s="178"/>
      <c r="J5" s="266" t="s">
        <v>65</v>
      </c>
      <c r="K5" s="178"/>
      <c r="L5" s="266" t="s">
        <v>9</v>
      </c>
      <c r="M5" s="178"/>
      <c r="N5" s="370" t="s">
        <v>46</v>
      </c>
      <c r="O5" s="214"/>
      <c r="P5" s="214"/>
      <c r="Q5" s="214"/>
      <c r="R5" s="214"/>
      <c r="S5" s="214"/>
      <c r="T5" s="214"/>
      <c r="U5" s="214"/>
      <c r="V5" s="266" t="s">
        <v>142</v>
      </c>
      <c r="W5" s="178"/>
      <c r="X5" s="266" t="s">
        <v>143</v>
      </c>
      <c r="Y5" s="178"/>
      <c r="Z5" s="266" t="s">
        <v>110</v>
      </c>
      <c r="AA5" s="179"/>
    </row>
    <row r="6" spans="2:41" s="2" customFormat="1" ht="21.95" customHeight="1">
      <c r="B6" s="368"/>
      <c r="C6" s="267"/>
      <c r="D6" s="349" t="s">
        <v>8</v>
      </c>
      <c r="E6" s="350"/>
      <c r="F6" s="353" t="s">
        <v>7</v>
      </c>
      <c r="G6" s="354"/>
      <c r="H6" s="267"/>
      <c r="I6" s="267"/>
      <c r="J6" s="269"/>
      <c r="K6" s="267"/>
      <c r="L6" s="269"/>
      <c r="M6" s="267"/>
      <c r="N6" s="355" t="s">
        <v>45</v>
      </c>
      <c r="O6" s="356"/>
      <c r="P6" s="358" t="s">
        <v>144</v>
      </c>
      <c r="Q6" s="359"/>
      <c r="R6" s="359"/>
      <c r="S6" s="359"/>
      <c r="T6" s="359"/>
      <c r="U6" s="360"/>
      <c r="V6" s="269"/>
      <c r="W6" s="267"/>
      <c r="X6" s="269"/>
      <c r="Y6" s="267"/>
      <c r="Z6" s="267"/>
      <c r="AA6" s="272"/>
      <c r="AD6" s="287" t="s">
        <v>49</v>
      </c>
      <c r="AE6" s="287"/>
      <c r="AF6" s="19"/>
      <c r="AG6" s="19"/>
      <c r="AH6" s="287" t="s">
        <v>12</v>
      </c>
      <c r="AI6" s="287"/>
      <c r="AJ6" s="19"/>
      <c r="AK6" s="287" t="s">
        <v>50</v>
      </c>
      <c r="AL6" s="287"/>
      <c r="AN6" s="287" t="s">
        <v>58</v>
      </c>
      <c r="AO6" s="287"/>
    </row>
    <row r="7" spans="2:41" s="2" customFormat="1" ht="21.95" customHeight="1" thickBot="1">
      <c r="B7" s="369"/>
      <c r="C7" s="268"/>
      <c r="D7" s="351"/>
      <c r="E7" s="352"/>
      <c r="F7" s="297"/>
      <c r="G7" s="253"/>
      <c r="H7" s="268"/>
      <c r="I7" s="268"/>
      <c r="J7" s="268"/>
      <c r="K7" s="268"/>
      <c r="L7" s="268"/>
      <c r="M7" s="268"/>
      <c r="N7" s="258"/>
      <c r="O7" s="357"/>
      <c r="P7" s="253" t="s">
        <v>10</v>
      </c>
      <c r="Q7" s="300"/>
      <c r="R7" s="346" t="s">
        <v>11</v>
      </c>
      <c r="S7" s="347"/>
      <c r="T7" s="253" t="s">
        <v>3</v>
      </c>
      <c r="U7" s="300"/>
      <c r="V7" s="268"/>
      <c r="W7" s="268"/>
      <c r="X7" s="268"/>
      <c r="Y7" s="268"/>
      <c r="Z7" s="268"/>
      <c r="AA7" s="273"/>
      <c r="AD7" s="19" t="s">
        <v>4</v>
      </c>
      <c r="AE7" s="19" t="s">
        <v>16</v>
      </c>
      <c r="AF7" s="19"/>
      <c r="AG7" s="19"/>
      <c r="AH7" s="19" t="s">
        <v>4</v>
      </c>
      <c r="AI7" s="19" t="s">
        <v>16</v>
      </c>
      <c r="AJ7" s="19"/>
      <c r="AK7" s="19" t="s">
        <v>4</v>
      </c>
      <c r="AL7" s="19" t="s">
        <v>16</v>
      </c>
      <c r="AN7" s="45" t="s">
        <v>56</v>
      </c>
      <c r="AO7" s="2" t="s">
        <v>54</v>
      </c>
    </row>
    <row r="8" spans="2:41" s="2" customFormat="1" ht="21.95" customHeight="1">
      <c r="B8" s="239"/>
      <c r="C8" s="345"/>
      <c r="D8" s="291"/>
      <c r="E8" s="292"/>
      <c r="F8" s="292"/>
      <c r="G8" s="293"/>
      <c r="H8" s="245"/>
      <c r="I8" s="245"/>
      <c r="J8" s="245"/>
      <c r="K8" s="245"/>
      <c r="L8" s="317"/>
      <c r="M8" s="317"/>
      <c r="N8" s="337"/>
      <c r="O8" s="338"/>
      <c r="P8" s="339"/>
      <c r="Q8" s="340"/>
      <c r="R8" s="341"/>
      <c r="S8" s="342"/>
      <c r="T8" s="343"/>
      <c r="U8" s="339"/>
      <c r="V8" s="344" t="str">
        <f>IF(D8="","",AD8)</f>
        <v/>
      </c>
      <c r="W8" s="344"/>
      <c r="X8" s="344" t="str">
        <f t="shared" ref="X8:X19" si="0">IF(D8="","",IF(ISERROR(AE8),"-",AE8))</f>
        <v/>
      </c>
      <c r="Y8" s="344"/>
      <c r="Z8" s="344" t="str">
        <f>IF(D8="","",D8*F8*AN8)</f>
        <v/>
      </c>
      <c r="AA8" s="371"/>
      <c r="AD8" s="2" t="e">
        <f>D8*F8*J8*$V$4*AH8</f>
        <v>#VALUE!</v>
      </c>
      <c r="AE8" s="2" t="e">
        <f>D8*F8*J8*$X$4*AI8</f>
        <v>#VALUE!</v>
      </c>
      <c r="AG8" s="37" t="b">
        <v>0</v>
      </c>
      <c r="AH8" s="2" t="str">
        <f>IF(AG8=TRUE,"0.93",IF(ISERROR(AK8),"エラー",IF(AK8&gt;0.93,"0.93",AK8)))</f>
        <v>エラー</v>
      </c>
      <c r="AI8" s="2" t="str">
        <f>IF(AG8=TRUE,"0.51",IF(ISERROR(AL8),"エラー",IF(AL8&gt;0.72,"0.72",AL8)))</f>
        <v>エラー</v>
      </c>
      <c r="AK8" s="2" t="e">
        <f>IF(共通条件・結果!$AA$7="８地域",0.01*(16+19*(2*R8+T8)/P8),0.01*(16+24*(2*R8+T8)/P8))</f>
        <v>#DIV/0!</v>
      </c>
      <c r="AL8" s="2" t="e">
        <f>0.01*(5+20*(3*R8+T8)/P8)</f>
        <v>#DIV/0!</v>
      </c>
      <c r="AN8" s="2">
        <f>IF(AO8="FALSE",H8,IF(L8="風除室",1/((1/H8)+0.1),0.5*H8+0.5*(1/((1/H8)+AO8))))</f>
        <v>0</v>
      </c>
      <c r="AO8" s="19" t="str">
        <f t="shared" ref="AO8:AO19" si="1">IF(L8="","FALSE",IF(L8="雨戸",0.1,IF(L8="ｼｬｯﾀｰ",0.1,IF(L8="障子",0.18,IF(L8="風除室",0.1)))))</f>
        <v>FALSE</v>
      </c>
    </row>
    <row r="9" spans="2:41" s="2" customFormat="1" ht="21.95" customHeight="1">
      <c r="B9" s="230"/>
      <c r="C9" s="331"/>
      <c r="D9" s="332"/>
      <c r="E9" s="333"/>
      <c r="F9" s="333"/>
      <c r="G9" s="334"/>
      <c r="H9" s="236"/>
      <c r="I9" s="236"/>
      <c r="J9" s="236"/>
      <c r="K9" s="236"/>
      <c r="L9" s="281"/>
      <c r="M9" s="281"/>
      <c r="N9" s="323"/>
      <c r="O9" s="324"/>
      <c r="P9" s="325"/>
      <c r="Q9" s="326"/>
      <c r="R9" s="327"/>
      <c r="S9" s="328"/>
      <c r="T9" s="329"/>
      <c r="U9" s="325"/>
      <c r="V9" s="217" t="str">
        <f t="shared" ref="V9:V19" si="2">IF(D9="","",AD9)</f>
        <v/>
      </c>
      <c r="W9" s="217"/>
      <c r="X9" s="217" t="str">
        <f t="shared" si="0"/>
        <v/>
      </c>
      <c r="Y9" s="217"/>
      <c r="Z9" s="217" t="str">
        <f t="shared" ref="Z9:Z19" si="3">IF(D9="","",D9*F9*AN9)</f>
        <v/>
      </c>
      <c r="AA9" s="218"/>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IF(共通条件・結果!$AA$7="８地域",0.01*(16+19*(2*R9+T9)/P9),0.01*(16+24*(2*R9+T9)/P9))</f>
        <v>#DIV/0!</v>
      </c>
      <c r="AL9" s="2" t="e">
        <f t="shared" ref="AL9:AL19" si="8">0.01*(5+20*(3*R9+T9)/P9)</f>
        <v>#DIV/0!</v>
      </c>
      <c r="AN9" s="2">
        <f t="shared" ref="AN9:AN19" si="9">IF(AO9="FALSE",H9,IF(L9="風除室",1/((1/H9)+0.1),0.5*H9+0.5*(1/((1/H9)+AO9))))</f>
        <v>0</v>
      </c>
      <c r="AO9" s="19" t="str">
        <f t="shared" si="1"/>
        <v>FALSE</v>
      </c>
    </row>
    <row r="10" spans="2:41" s="2" customFormat="1" ht="21.95" customHeight="1">
      <c r="B10" s="230"/>
      <c r="C10" s="331"/>
      <c r="D10" s="332"/>
      <c r="E10" s="333"/>
      <c r="F10" s="333"/>
      <c r="G10" s="334"/>
      <c r="H10" s="236"/>
      <c r="I10" s="236"/>
      <c r="J10" s="236"/>
      <c r="K10" s="236"/>
      <c r="L10" s="281"/>
      <c r="M10" s="281"/>
      <c r="N10" s="323"/>
      <c r="O10" s="324"/>
      <c r="P10" s="326"/>
      <c r="Q10" s="335"/>
      <c r="R10" s="330"/>
      <c r="S10" s="335"/>
      <c r="T10" s="330"/>
      <c r="U10" s="329"/>
      <c r="V10" s="217" t="str">
        <f t="shared" si="2"/>
        <v/>
      </c>
      <c r="W10" s="217"/>
      <c r="X10" s="217" t="str">
        <f t="shared" si="0"/>
        <v/>
      </c>
      <c r="Y10" s="217"/>
      <c r="Z10" s="217" t="str">
        <f t="shared" si="3"/>
        <v/>
      </c>
      <c r="AA10" s="218"/>
      <c r="AD10" s="2" t="e">
        <f t="shared" si="4"/>
        <v>#VALUE!</v>
      </c>
      <c r="AE10" s="2" t="e">
        <f t="shared" si="5"/>
        <v>#VALUE!</v>
      </c>
      <c r="AG10" s="37" t="b">
        <v>0</v>
      </c>
      <c r="AH10" s="2" t="str">
        <f t="shared" si="6"/>
        <v>エラー</v>
      </c>
      <c r="AI10" s="2" t="str">
        <f t="shared" si="7"/>
        <v>エラー</v>
      </c>
      <c r="AK10" s="2" t="e">
        <f>IF(共通条件・結果!$AA$7="８地域",0.01*(16+19*(2*R10+T10)/P10),0.01*(16+24*(2*R10+T10)/P10))</f>
        <v>#DIV/0!</v>
      </c>
      <c r="AL10" s="2" t="e">
        <f t="shared" si="8"/>
        <v>#DIV/0!</v>
      </c>
      <c r="AN10" s="2">
        <f t="shared" si="9"/>
        <v>0</v>
      </c>
      <c r="AO10" s="19" t="str">
        <f t="shared" si="1"/>
        <v>FALSE</v>
      </c>
    </row>
    <row r="11" spans="2:41" s="2" customFormat="1" ht="21.95" customHeight="1">
      <c r="B11" s="230"/>
      <c r="C11" s="331"/>
      <c r="D11" s="332"/>
      <c r="E11" s="333"/>
      <c r="F11" s="333"/>
      <c r="G11" s="334"/>
      <c r="H11" s="236"/>
      <c r="I11" s="236"/>
      <c r="J11" s="236"/>
      <c r="K11" s="236"/>
      <c r="L11" s="281"/>
      <c r="M11" s="281"/>
      <c r="N11" s="323"/>
      <c r="O11" s="324"/>
      <c r="P11" s="326"/>
      <c r="Q11" s="335"/>
      <c r="R11" s="330"/>
      <c r="S11" s="335"/>
      <c r="T11" s="330"/>
      <c r="U11" s="329"/>
      <c r="V11" s="217" t="str">
        <f t="shared" si="2"/>
        <v/>
      </c>
      <c r="W11" s="217"/>
      <c r="X11" s="217" t="str">
        <f t="shared" si="0"/>
        <v/>
      </c>
      <c r="Y11" s="217"/>
      <c r="Z11" s="217" t="str">
        <f t="shared" si="3"/>
        <v/>
      </c>
      <c r="AA11" s="218"/>
      <c r="AD11" s="2" t="e">
        <f t="shared" si="4"/>
        <v>#VALUE!</v>
      </c>
      <c r="AE11" s="2" t="e">
        <f t="shared" si="5"/>
        <v>#VALUE!</v>
      </c>
      <c r="AG11" s="37" t="b">
        <v>0</v>
      </c>
      <c r="AH11" s="2" t="str">
        <f t="shared" si="6"/>
        <v>エラー</v>
      </c>
      <c r="AI11" s="2" t="str">
        <f t="shared" si="7"/>
        <v>エラー</v>
      </c>
      <c r="AK11" s="2" t="e">
        <f>IF(共通条件・結果!$AA$7="８地域",0.01*(16+19*(2*R11+T11)/P11),0.01*(16+24*(2*R11+T11)/P11))</f>
        <v>#DIV/0!</v>
      </c>
      <c r="AL11" s="2" t="e">
        <f t="shared" si="8"/>
        <v>#DIV/0!</v>
      </c>
      <c r="AN11" s="2">
        <f t="shared" si="9"/>
        <v>0</v>
      </c>
      <c r="AO11" s="19" t="str">
        <f t="shared" si="1"/>
        <v>FALSE</v>
      </c>
    </row>
    <row r="12" spans="2:41" s="2" customFormat="1" ht="21.95" customHeight="1">
      <c r="B12" s="230"/>
      <c r="C12" s="231"/>
      <c r="D12" s="232"/>
      <c r="E12" s="285"/>
      <c r="F12" s="286"/>
      <c r="G12" s="233"/>
      <c r="H12" s="232"/>
      <c r="I12" s="233"/>
      <c r="J12" s="232"/>
      <c r="K12" s="233"/>
      <c r="L12" s="295"/>
      <c r="M12" s="296"/>
      <c r="N12" s="323"/>
      <c r="O12" s="336"/>
      <c r="P12" s="326"/>
      <c r="Q12" s="335"/>
      <c r="R12" s="330"/>
      <c r="S12" s="335"/>
      <c r="T12" s="330"/>
      <c r="U12" s="329"/>
      <c r="V12" s="215" t="str">
        <f t="shared" si="2"/>
        <v/>
      </c>
      <c r="W12" s="216"/>
      <c r="X12" s="215" t="str">
        <f t="shared" si="0"/>
        <v/>
      </c>
      <c r="Y12" s="216"/>
      <c r="Z12" s="215" t="str">
        <f t="shared" si="3"/>
        <v/>
      </c>
      <c r="AA12" s="238"/>
      <c r="AD12" s="2" t="e">
        <f t="shared" si="4"/>
        <v>#VALUE!</v>
      </c>
      <c r="AE12" s="2" t="e">
        <f t="shared" si="5"/>
        <v>#VALUE!</v>
      </c>
      <c r="AG12" s="37" t="b">
        <v>0</v>
      </c>
      <c r="AH12" s="2" t="str">
        <f t="shared" si="6"/>
        <v>エラー</v>
      </c>
      <c r="AI12" s="2" t="str">
        <f t="shared" si="7"/>
        <v>エラー</v>
      </c>
      <c r="AK12" s="2" t="e">
        <f>IF(共通条件・結果!$AA$7="８地域",0.01*(16+19*(2*R12+T12)/P12),0.01*(16+24*(2*R12+T12)/P12))</f>
        <v>#DIV/0!</v>
      </c>
      <c r="AL12" s="2" t="e">
        <f t="shared" si="8"/>
        <v>#DIV/0!</v>
      </c>
      <c r="AN12" s="2">
        <f t="shared" si="9"/>
        <v>0</v>
      </c>
      <c r="AO12" s="19" t="str">
        <f t="shared" si="1"/>
        <v>FALSE</v>
      </c>
    </row>
    <row r="13" spans="2:41" s="2" customFormat="1" ht="21.95" customHeight="1">
      <c r="B13" s="230"/>
      <c r="C13" s="231"/>
      <c r="D13" s="232"/>
      <c r="E13" s="285"/>
      <c r="F13" s="286"/>
      <c r="G13" s="233"/>
      <c r="H13" s="232"/>
      <c r="I13" s="233"/>
      <c r="J13" s="232"/>
      <c r="K13" s="233"/>
      <c r="L13" s="295"/>
      <c r="M13" s="296"/>
      <c r="N13" s="323"/>
      <c r="O13" s="336"/>
      <c r="P13" s="326"/>
      <c r="Q13" s="335"/>
      <c r="R13" s="330"/>
      <c r="S13" s="335"/>
      <c r="T13" s="330"/>
      <c r="U13" s="329"/>
      <c r="V13" s="215" t="str">
        <f t="shared" si="2"/>
        <v/>
      </c>
      <c r="W13" s="216"/>
      <c r="X13" s="215" t="str">
        <f t="shared" si="0"/>
        <v/>
      </c>
      <c r="Y13" s="216"/>
      <c r="Z13" s="215" t="str">
        <f t="shared" si="3"/>
        <v/>
      </c>
      <c r="AA13" s="238"/>
      <c r="AD13" s="2" t="e">
        <f t="shared" si="4"/>
        <v>#VALUE!</v>
      </c>
      <c r="AE13" s="2" t="e">
        <f t="shared" si="5"/>
        <v>#VALUE!</v>
      </c>
      <c r="AG13" s="37" t="b">
        <v>0</v>
      </c>
      <c r="AH13" s="2" t="str">
        <f t="shared" si="6"/>
        <v>エラー</v>
      </c>
      <c r="AI13" s="2" t="str">
        <f t="shared" si="7"/>
        <v>エラー</v>
      </c>
      <c r="AK13" s="2" t="e">
        <f>IF(共通条件・結果!$AA$7="８地域",0.01*(16+19*(2*R13+T13)/P13),0.01*(16+24*(2*R13+T13)/P13))</f>
        <v>#DIV/0!</v>
      </c>
      <c r="AL13" s="2" t="e">
        <f t="shared" si="8"/>
        <v>#DIV/0!</v>
      </c>
      <c r="AN13" s="2">
        <f t="shared" si="9"/>
        <v>0</v>
      </c>
      <c r="AO13" s="19" t="str">
        <f t="shared" si="1"/>
        <v>FALSE</v>
      </c>
    </row>
    <row r="14" spans="2:41" s="2" customFormat="1" ht="21.95" customHeight="1">
      <c r="B14" s="230"/>
      <c r="C14" s="331"/>
      <c r="D14" s="332"/>
      <c r="E14" s="333"/>
      <c r="F14" s="333"/>
      <c r="G14" s="334"/>
      <c r="H14" s="236"/>
      <c r="I14" s="236"/>
      <c r="J14" s="236"/>
      <c r="K14" s="236"/>
      <c r="L14" s="281"/>
      <c r="M14" s="281"/>
      <c r="N14" s="323"/>
      <c r="O14" s="324"/>
      <c r="P14" s="326"/>
      <c r="Q14" s="335"/>
      <c r="R14" s="330"/>
      <c r="S14" s="335"/>
      <c r="T14" s="330"/>
      <c r="U14" s="329"/>
      <c r="V14" s="217" t="str">
        <f t="shared" si="2"/>
        <v/>
      </c>
      <c r="W14" s="217"/>
      <c r="X14" s="217" t="str">
        <f t="shared" si="0"/>
        <v/>
      </c>
      <c r="Y14" s="217"/>
      <c r="Z14" s="217" t="str">
        <f t="shared" si="3"/>
        <v/>
      </c>
      <c r="AA14" s="218"/>
      <c r="AD14" s="2" t="e">
        <f t="shared" si="4"/>
        <v>#VALUE!</v>
      </c>
      <c r="AE14" s="2" t="e">
        <f t="shared" si="5"/>
        <v>#VALUE!</v>
      </c>
      <c r="AG14" s="37" t="b">
        <v>0</v>
      </c>
      <c r="AH14" s="2" t="str">
        <f t="shared" si="6"/>
        <v>エラー</v>
      </c>
      <c r="AI14" s="2" t="str">
        <f t="shared" si="7"/>
        <v>エラー</v>
      </c>
      <c r="AK14" s="2" t="e">
        <f>IF(共通条件・結果!$AA$7="８地域",0.01*(16+19*(2*R14+T14)/P14),0.01*(16+24*(2*R14+T14)/P14))</f>
        <v>#DIV/0!</v>
      </c>
      <c r="AL14" s="2" t="e">
        <f t="shared" si="8"/>
        <v>#DIV/0!</v>
      </c>
      <c r="AN14" s="2">
        <f t="shared" si="9"/>
        <v>0</v>
      </c>
      <c r="AO14" s="19" t="str">
        <f t="shared" si="1"/>
        <v>FALSE</v>
      </c>
    </row>
    <row r="15" spans="2:41" s="2" customFormat="1" ht="21.95" customHeight="1">
      <c r="B15" s="230"/>
      <c r="C15" s="331"/>
      <c r="D15" s="332"/>
      <c r="E15" s="333"/>
      <c r="F15" s="333"/>
      <c r="G15" s="334"/>
      <c r="H15" s="236"/>
      <c r="I15" s="236"/>
      <c r="J15" s="236"/>
      <c r="K15" s="236"/>
      <c r="L15" s="281"/>
      <c r="M15" s="281"/>
      <c r="N15" s="323"/>
      <c r="O15" s="324"/>
      <c r="P15" s="326"/>
      <c r="Q15" s="335"/>
      <c r="R15" s="330"/>
      <c r="S15" s="335"/>
      <c r="T15" s="330"/>
      <c r="U15" s="329"/>
      <c r="V15" s="215" t="str">
        <f t="shared" si="2"/>
        <v/>
      </c>
      <c r="W15" s="216"/>
      <c r="X15" s="217" t="str">
        <f t="shared" si="0"/>
        <v/>
      </c>
      <c r="Y15" s="217"/>
      <c r="Z15" s="217" t="str">
        <f t="shared" si="3"/>
        <v/>
      </c>
      <c r="AA15" s="218"/>
      <c r="AD15" s="2" t="e">
        <f t="shared" si="4"/>
        <v>#VALUE!</v>
      </c>
      <c r="AE15" s="2" t="e">
        <f t="shared" si="5"/>
        <v>#VALUE!</v>
      </c>
      <c r="AG15" s="37" t="b">
        <v>0</v>
      </c>
      <c r="AH15" s="2" t="str">
        <f t="shared" si="6"/>
        <v>エラー</v>
      </c>
      <c r="AI15" s="2" t="str">
        <f t="shared" si="7"/>
        <v>エラー</v>
      </c>
      <c r="AK15" s="2" t="e">
        <f>IF(共通条件・結果!$AA$7="８地域",0.01*(16+19*(2*R15+T15)/P15),0.01*(16+24*(2*R15+T15)/P15))</f>
        <v>#DIV/0!</v>
      </c>
      <c r="AL15" s="2" t="e">
        <f t="shared" si="8"/>
        <v>#DIV/0!</v>
      </c>
      <c r="AN15" s="2">
        <f t="shared" si="9"/>
        <v>0</v>
      </c>
      <c r="AO15" s="19" t="str">
        <f t="shared" si="1"/>
        <v>FALSE</v>
      </c>
    </row>
    <row r="16" spans="2:41" s="2" customFormat="1" ht="21.95" customHeight="1">
      <c r="B16" s="230"/>
      <c r="C16" s="331"/>
      <c r="D16" s="332"/>
      <c r="E16" s="333"/>
      <c r="F16" s="333"/>
      <c r="G16" s="334"/>
      <c r="H16" s="236"/>
      <c r="I16" s="236"/>
      <c r="J16" s="236"/>
      <c r="K16" s="236"/>
      <c r="L16" s="281"/>
      <c r="M16" s="281"/>
      <c r="N16" s="323"/>
      <c r="O16" s="324"/>
      <c r="P16" s="326"/>
      <c r="Q16" s="335"/>
      <c r="R16" s="330"/>
      <c r="S16" s="335"/>
      <c r="T16" s="330"/>
      <c r="U16" s="329"/>
      <c r="V16" s="215" t="str">
        <f t="shared" si="2"/>
        <v/>
      </c>
      <c r="W16" s="216"/>
      <c r="X16" s="217" t="str">
        <f t="shared" si="0"/>
        <v/>
      </c>
      <c r="Y16" s="217"/>
      <c r="Z16" s="217" t="str">
        <f t="shared" si="3"/>
        <v/>
      </c>
      <c r="AA16" s="218"/>
      <c r="AD16" s="2" t="e">
        <f t="shared" si="4"/>
        <v>#VALUE!</v>
      </c>
      <c r="AE16" s="2" t="e">
        <f t="shared" si="5"/>
        <v>#VALUE!</v>
      </c>
      <c r="AG16" s="37" t="b">
        <v>0</v>
      </c>
      <c r="AH16" s="2" t="str">
        <f t="shared" si="6"/>
        <v>エラー</v>
      </c>
      <c r="AI16" s="2" t="str">
        <f t="shared" si="7"/>
        <v>エラー</v>
      </c>
      <c r="AK16" s="2" t="e">
        <f>IF(共通条件・結果!$AA$7="８地域",0.01*(16+19*(2*R16+T16)/P16),0.01*(16+24*(2*R16+T16)/P16))</f>
        <v>#DIV/0!</v>
      </c>
      <c r="AL16" s="2" t="e">
        <f t="shared" si="8"/>
        <v>#DIV/0!</v>
      </c>
      <c r="AN16" s="2">
        <f t="shared" si="9"/>
        <v>0</v>
      </c>
      <c r="AO16" s="19" t="str">
        <f t="shared" si="1"/>
        <v>FALSE</v>
      </c>
    </row>
    <row r="17" spans="2:41" s="2" customFormat="1" ht="21.95" customHeight="1">
      <c r="B17" s="230"/>
      <c r="C17" s="331"/>
      <c r="D17" s="332"/>
      <c r="E17" s="333"/>
      <c r="F17" s="333"/>
      <c r="G17" s="334"/>
      <c r="H17" s="236"/>
      <c r="I17" s="236"/>
      <c r="J17" s="236"/>
      <c r="K17" s="236"/>
      <c r="L17" s="281"/>
      <c r="M17" s="281"/>
      <c r="N17" s="323"/>
      <c r="O17" s="324"/>
      <c r="P17" s="325"/>
      <c r="Q17" s="326"/>
      <c r="R17" s="330"/>
      <c r="S17" s="335"/>
      <c r="T17" s="330"/>
      <c r="U17" s="329"/>
      <c r="V17" s="215" t="str">
        <f t="shared" si="2"/>
        <v/>
      </c>
      <c r="W17" s="216"/>
      <c r="X17" s="217" t="str">
        <f t="shared" si="0"/>
        <v/>
      </c>
      <c r="Y17" s="217"/>
      <c r="Z17" s="217" t="str">
        <f t="shared" si="3"/>
        <v/>
      </c>
      <c r="AA17" s="218"/>
      <c r="AD17" s="2" t="e">
        <f t="shared" si="4"/>
        <v>#VALUE!</v>
      </c>
      <c r="AE17" s="2" t="e">
        <f t="shared" si="5"/>
        <v>#VALUE!</v>
      </c>
      <c r="AG17" s="37" t="b">
        <v>0</v>
      </c>
      <c r="AH17" s="2" t="str">
        <f t="shared" si="6"/>
        <v>エラー</v>
      </c>
      <c r="AI17" s="2" t="str">
        <f t="shared" si="7"/>
        <v>エラー</v>
      </c>
      <c r="AK17" s="2" t="e">
        <f>IF(共通条件・結果!$AA$7="８地域",0.01*(16+19*(2*R17+T17)/P17),0.01*(16+24*(2*R17+T17)/P17))</f>
        <v>#DIV/0!</v>
      </c>
      <c r="AL17" s="2" t="e">
        <f t="shared" si="8"/>
        <v>#DIV/0!</v>
      </c>
      <c r="AN17" s="2">
        <f t="shared" si="9"/>
        <v>0</v>
      </c>
      <c r="AO17" s="19" t="str">
        <f t="shared" si="1"/>
        <v>FALSE</v>
      </c>
    </row>
    <row r="18" spans="2:41" s="2" customFormat="1" ht="21.95" customHeight="1">
      <c r="B18" s="230"/>
      <c r="C18" s="331"/>
      <c r="D18" s="332"/>
      <c r="E18" s="333"/>
      <c r="F18" s="333"/>
      <c r="G18" s="334"/>
      <c r="H18" s="236"/>
      <c r="I18" s="236"/>
      <c r="J18" s="236"/>
      <c r="K18" s="236"/>
      <c r="L18" s="281"/>
      <c r="M18" s="281"/>
      <c r="N18" s="323"/>
      <c r="O18" s="324"/>
      <c r="P18" s="325"/>
      <c r="Q18" s="326"/>
      <c r="R18" s="327"/>
      <c r="S18" s="328"/>
      <c r="T18" s="329"/>
      <c r="U18" s="325"/>
      <c r="V18" s="215" t="str">
        <f t="shared" si="2"/>
        <v/>
      </c>
      <c r="W18" s="216"/>
      <c r="X18" s="217" t="str">
        <f t="shared" si="0"/>
        <v/>
      </c>
      <c r="Y18" s="217"/>
      <c r="Z18" s="217" t="str">
        <f t="shared" si="3"/>
        <v/>
      </c>
      <c r="AA18" s="218"/>
      <c r="AD18" s="2" t="e">
        <f t="shared" si="4"/>
        <v>#VALUE!</v>
      </c>
      <c r="AE18" s="2" t="e">
        <f t="shared" si="5"/>
        <v>#VALUE!</v>
      </c>
      <c r="AG18" s="37" t="b">
        <v>0</v>
      </c>
      <c r="AH18" s="2" t="str">
        <f t="shared" si="6"/>
        <v>エラー</v>
      </c>
      <c r="AI18" s="2" t="str">
        <f t="shared" si="7"/>
        <v>エラー</v>
      </c>
      <c r="AK18" s="2" t="e">
        <f>IF(共通条件・結果!$AA$7="８地域",0.01*(16+19*(2*R18+T18)/P18),0.01*(16+24*(2*R18+T18)/P18))</f>
        <v>#DIV/0!</v>
      </c>
      <c r="AL18" s="2" t="e">
        <f t="shared" si="8"/>
        <v>#DIV/0!</v>
      </c>
      <c r="AN18" s="2">
        <f t="shared" si="9"/>
        <v>0</v>
      </c>
      <c r="AO18" s="19" t="str">
        <f t="shared" si="1"/>
        <v>FALSE</v>
      </c>
    </row>
    <row r="19" spans="2:41" s="2" customFormat="1" ht="21.95" customHeight="1" thickBot="1">
      <c r="B19" s="219"/>
      <c r="C19" s="316"/>
      <c r="D19" s="277"/>
      <c r="E19" s="278"/>
      <c r="F19" s="278"/>
      <c r="G19" s="279"/>
      <c r="H19" s="280"/>
      <c r="I19" s="280"/>
      <c r="J19" s="280"/>
      <c r="K19" s="280"/>
      <c r="L19" s="317"/>
      <c r="M19" s="317"/>
      <c r="N19" s="318"/>
      <c r="O19" s="319"/>
      <c r="P19" s="315"/>
      <c r="Q19" s="320"/>
      <c r="R19" s="321"/>
      <c r="S19" s="322"/>
      <c r="T19" s="314"/>
      <c r="U19" s="315"/>
      <c r="V19" s="215" t="str">
        <f t="shared" si="2"/>
        <v/>
      </c>
      <c r="W19" s="216"/>
      <c r="X19" s="217" t="str">
        <f t="shared" si="0"/>
        <v/>
      </c>
      <c r="Y19" s="217"/>
      <c r="Z19" s="226" t="str">
        <f t="shared" si="3"/>
        <v/>
      </c>
      <c r="AA19" s="229"/>
      <c r="AD19" s="2" t="e">
        <f t="shared" si="4"/>
        <v>#VALUE!</v>
      </c>
      <c r="AE19" s="2" t="e">
        <f t="shared" si="5"/>
        <v>#VALUE!</v>
      </c>
      <c r="AG19" s="37" t="b">
        <v>0</v>
      </c>
      <c r="AH19" s="2" t="str">
        <f t="shared" si="6"/>
        <v>エラー</v>
      </c>
      <c r="AI19" s="2" t="str">
        <f t="shared" si="7"/>
        <v>エラー</v>
      </c>
      <c r="AK19" s="2" t="e">
        <f>IF(共通条件・結果!$AA$7="８地域",0.01*(16+19*(2*R19+T19)/P19),0.01*(16+24*(2*R19+T19)/P19))</f>
        <v>#DIV/0!</v>
      </c>
      <c r="AL19" s="2" t="e">
        <f t="shared" si="8"/>
        <v>#DIV/0!</v>
      </c>
      <c r="AN19" s="2">
        <f t="shared" si="9"/>
        <v>0</v>
      </c>
      <c r="AO19" s="19" t="str">
        <f t="shared" si="1"/>
        <v>FALSE</v>
      </c>
    </row>
    <row r="20" spans="2:41" s="2" customFormat="1" ht="21.95" customHeight="1" thickBot="1">
      <c r="B20" s="200" t="s">
        <v>196</v>
      </c>
      <c r="C20" s="201"/>
      <c r="D20" s="201"/>
      <c r="E20" s="201"/>
      <c r="F20" s="201"/>
      <c r="G20" s="201"/>
      <c r="H20" s="201"/>
      <c r="I20" s="201"/>
      <c r="J20" s="201"/>
      <c r="K20" s="201"/>
      <c r="L20" s="201"/>
      <c r="M20" s="201"/>
      <c r="N20" s="201"/>
      <c r="O20" s="201"/>
      <c r="P20" s="201"/>
      <c r="Q20" s="201"/>
      <c r="R20" s="201"/>
      <c r="S20" s="201"/>
      <c r="T20" s="201"/>
      <c r="U20" s="201"/>
      <c r="V20" s="202">
        <f>SUM(V8:W19)</f>
        <v>0</v>
      </c>
      <c r="W20" s="202"/>
      <c r="X20" s="202">
        <f>IF(共通条件・結果!AA7="８地域","-",SUM(X8:Y19))</f>
        <v>0</v>
      </c>
      <c r="Y20" s="202"/>
      <c r="Z20" s="202">
        <f>SUM(Z8:AA19)</f>
        <v>0</v>
      </c>
      <c r="AA20" s="203"/>
    </row>
    <row r="21" spans="2:41" s="2" customFormat="1" ht="9.9499999999999993" customHeight="1">
      <c r="AN21" s="287"/>
      <c r="AO21" s="287"/>
    </row>
    <row r="22" spans="2:41" s="2" customFormat="1" ht="21.95" customHeight="1" thickBot="1">
      <c r="E22" s="4"/>
      <c r="J22" s="4" t="s">
        <v>13</v>
      </c>
    </row>
    <row r="23" spans="2:41" s="2" customFormat="1" ht="21.95" customHeight="1">
      <c r="J23" s="248" t="s">
        <v>14</v>
      </c>
      <c r="K23" s="195"/>
      <c r="L23" s="195"/>
      <c r="M23" s="249"/>
      <c r="N23" s="302" t="s">
        <v>140</v>
      </c>
      <c r="O23" s="195"/>
      <c r="P23" s="195"/>
      <c r="Q23" s="249"/>
      <c r="R23" s="266" t="s">
        <v>141</v>
      </c>
      <c r="S23" s="178"/>
      <c r="T23" s="306" t="s">
        <v>9</v>
      </c>
      <c r="U23" s="307"/>
      <c r="V23" s="254" t="s">
        <v>145</v>
      </c>
      <c r="W23" s="255"/>
      <c r="X23" s="254" t="s">
        <v>143</v>
      </c>
      <c r="Y23" s="255"/>
      <c r="Z23" s="254" t="s">
        <v>110</v>
      </c>
      <c r="AA23" s="196"/>
      <c r="AN23" s="287" t="s">
        <v>58</v>
      </c>
      <c r="AO23" s="287"/>
    </row>
    <row r="24" spans="2:41" s="2" customFormat="1" ht="21.95" customHeight="1">
      <c r="J24" s="250"/>
      <c r="K24" s="287"/>
      <c r="L24" s="287"/>
      <c r="M24" s="251"/>
      <c r="N24" s="303"/>
      <c r="O24" s="304"/>
      <c r="P24" s="304"/>
      <c r="Q24" s="305"/>
      <c r="R24" s="269"/>
      <c r="S24" s="267"/>
      <c r="T24" s="308"/>
      <c r="U24" s="309"/>
      <c r="V24" s="256"/>
      <c r="W24" s="257"/>
      <c r="X24" s="256"/>
      <c r="Y24" s="257"/>
      <c r="Z24" s="298"/>
      <c r="AA24" s="299"/>
      <c r="AN24" s="19"/>
      <c r="AO24" s="19"/>
    </row>
    <row r="25" spans="2:41" s="2" customFormat="1" ht="21.95" customHeight="1" thickBot="1">
      <c r="J25" s="252"/>
      <c r="K25" s="297"/>
      <c r="L25" s="297"/>
      <c r="M25" s="253"/>
      <c r="N25" s="311" t="s">
        <v>8</v>
      </c>
      <c r="O25" s="312"/>
      <c r="P25" s="313" t="s">
        <v>7</v>
      </c>
      <c r="Q25" s="268"/>
      <c r="R25" s="268"/>
      <c r="S25" s="268"/>
      <c r="T25" s="310"/>
      <c r="U25" s="310"/>
      <c r="V25" s="258"/>
      <c r="W25" s="259"/>
      <c r="X25" s="258"/>
      <c r="Y25" s="259"/>
      <c r="Z25" s="300"/>
      <c r="AA25" s="301"/>
      <c r="AN25" s="45" t="s">
        <v>56</v>
      </c>
      <c r="AO25" s="2" t="s">
        <v>54</v>
      </c>
    </row>
    <row r="26" spans="2:41" s="2" customFormat="1" ht="21.95" customHeight="1">
      <c r="D26" s="56"/>
      <c r="E26" s="56"/>
      <c r="J26" s="288"/>
      <c r="K26" s="289"/>
      <c r="L26" s="289"/>
      <c r="M26" s="290"/>
      <c r="N26" s="291"/>
      <c r="O26" s="292"/>
      <c r="P26" s="292"/>
      <c r="Q26" s="293"/>
      <c r="R26" s="245"/>
      <c r="S26" s="245"/>
      <c r="T26" s="294"/>
      <c r="U26" s="294"/>
      <c r="V26" s="246" t="str">
        <f>IF(N26="","",N26*P26*R26*0.034*$V$4)</f>
        <v/>
      </c>
      <c r="W26" s="246"/>
      <c r="X26" s="246" t="str">
        <f>IF(N26="","",IF(ISERROR(N26*P26*R26*0.034*$X$4),"-",N26*P26*R26*0.034*$X$4))</f>
        <v/>
      </c>
      <c r="Y26" s="246"/>
      <c r="Z26" s="246" t="str">
        <f>IF(N26="","",N26*P26*AN26)</f>
        <v/>
      </c>
      <c r="AA26" s="247"/>
      <c r="AD26" s="37"/>
      <c r="AN26" s="2">
        <f>IF(AO26="FALSE",R26,IF(T26="風除室",1/((1/R26)+0.1),0.5*R26+0.5*(1/((1/R26)+AO26))))</f>
        <v>0</v>
      </c>
      <c r="AO26" s="19" t="str">
        <f>IF(T26="","FALSE",IF(T26="雨戸",0.1,IF(T26="ｼｬｯﾀｰ",0.1,IF(T26="障子",0.18,IF(T26="風除室",0.1)))))</f>
        <v>FALSE</v>
      </c>
    </row>
    <row r="27" spans="2:41" s="2" customFormat="1" ht="21.95" customHeight="1">
      <c r="D27" s="56"/>
      <c r="E27" s="56"/>
      <c r="J27" s="282"/>
      <c r="K27" s="283"/>
      <c r="L27" s="283"/>
      <c r="M27" s="284"/>
      <c r="N27" s="232"/>
      <c r="O27" s="285"/>
      <c r="P27" s="286"/>
      <c r="Q27" s="233"/>
      <c r="R27" s="232"/>
      <c r="S27" s="233"/>
      <c r="T27" s="295"/>
      <c r="U27" s="296"/>
      <c r="V27" s="215" t="str">
        <f>IF(N27="","",N27*P27*R27*0.034*$V$4)</f>
        <v/>
      </c>
      <c r="W27" s="216"/>
      <c r="X27" s="215" t="str">
        <f>IF(N27="","",IF(ISERROR(N27*P27*R27*0.034*$X$4),"-",N27*P27*R27*0.034*$X$4))</f>
        <v/>
      </c>
      <c r="Y27" s="216"/>
      <c r="Z27" s="215" t="str">
        <f>IF(N27="","",N27*P27*AN27)</f>
        <v/>
      </c>
      <c r="AA27" s="238"/>
      <c r="AD27" s="37"/>
      <c r="AN27" s="2">
        <f>IF(AO27="FALSE",R27,IF(T27="風除室",1/((1/R27)+0.1),0.5*R27+0.5*(1/((1/R27)+AO27))))</f>
        <v>0</v>
      </c>
      <c r="AO27" s="19" t="str">
        <f>IF(T27="","FALSE",IF(T27="雨戸",0.1,IF(T27="ｼｬｯﾀｰ",0.1,IF(T27="障子",0.18,IF(T27="風除室",0.1)))))</f>
        <v>FALSE</v>
      </c>
    </row>
    <row r="28" spans="2:41" s="2" customFormat="1" ht="21.95" customHeight="1" thickBot="1">
      <c r="D28" s="56"/>
      <c r="E28" s="56"/>
      <c r="J28" s="274"/>
      <c r="K28" s="275"/>
      <c r="L28" s="275"/>
      <c r="M28" s="276"/>
      <c r="N28" s="277"/>
      <c r="O28" s="278"/>
      <c r="P28" s="278"/>
      <c r="Q28" s="279"/>
      <c r="R28" s="280"/>
      <c r="S28" s="280"/>
      <c r="T28" s="281"/>
      <c r="U28" s="281"/>
      <c r="V28" s="270" t="str">
        <f>IF(N28="","",N28*P28*R28*0.034*$V$4)</f>
        <v/>
      </c>
      <c r="W28" s="270"/>
      <c r="X28" s="270" t="str">
        <f>IF(N28="","",IF(ISERROR(N28*P28*R28*0.034*$X$4),"-",N28*P28*R28*0.034*$X$4))</f>
        <v/>
      </c>
      <c r="Y28" s="270"/>
      <c r="Z28" s="270" t="str">
        <f>IF(N28="","",N28*P28*AN28)</f>
        <v/>
      </c>
      <c r="AA28" s="271"/>
      <c r="AD28" s="37"/>
      <c r="AN28" s="2">
        <f>IF(AO28="FALSE",R28,IF(T28="風除室",1/((1/R28)+0.1),0.5*R28+0.5*(1/((1/R28)+AO28))))</f>
        <v>0</v>
      </c>
      <c r="AO28" s="19" t="str">
        <f>IF(T28="","FALSE",IF(T28="雨戸",0.1,IF(T28="ｼｬｯﾀｰ",0.1,IF(T28="障子",0.18,IF(T28="風除室",0.1)))))</f>
        <v>FALSE</v>
      </c>
    </row>
    <row r="29" spans="2:41" s="2" customFormat="1" ht="21.95" customHeight="1" thickBot="1">
      <c r="J29" s="200" t="s">
        <v>197</v>
      </c>
      <c r="K29" s="201"/>
      <c r="L29" s="201"/>
      <c r="M29" s="201"/>
      <c r="N29" s="201"/>
      <c r="O29" s="201"/>
      <c r="P29" s="201"/>
      <c r="Q29" s="201"/>
      <c r="R29" s="201"/>
      <c r="S29" s="201"/>
      <c r="T29" s="201"/>
      <c r="U29" s="348"/>
      <c r="V29" s="202">
        <f>SUM(V26:W28)</f>
        <v>0</v>
      </c>
      <c r="W29" s="202"/>
      <c r="X29" s="202">
        <f>SUM(X26:Y28)</f>
        <v>0</v>
      </c>
      <c r="Y29" s="202"/>
      <c r="Z29" s="202">
        <f>SUM(Z26:AA28)</f>
        <v>0</v>
      </c>
      <c r="AA29" s="203"/>
      <c r="AO29" s="19"/>
    </row>
    <row r="30" spans="2:41" s="2" customFormat="1" ht="9.9499999999999993" customHeight="1">
      <c r="J30" s="23"/>
      <c r="K30" s="23"/>
      <c r="L30" s="23"/>
      <c r="M30" s="23"/>
      <c r="N30" s="23"/>
      <c r="O30" s="23"/>
      <c r="P30" s="23"/>
      <c r="Q30" s="23"/>
      <c r="R30" s="23"/>
      <c r="S30" s="23"/>
      <c r="T30" s="23"/>
      <c r="U30" s="23"/>
      <c r="V30" s="46"/>
      <c r="W30" s="46"/>
      <c r="X30" s="46"/>
      <c r="Y30" s="46"/>
      <c r="Z30" s="46"/>
      <c r="AA30" s="46"/>
      <c r="AO30" s="19"/>
    </row>
    <row r="31" spans="2:41" s="2" customFormat="1" ht="21.95" customHeight="1" thickBot="1">
      <c r="J31" s="4" t="s">
        <v>15</v>
      </c>
      <c r="K31" s="4"/>
      <c r="L31" s="4"/>
      <c r="AO31" s="19"/>
    </row>
    <row r="32" spans="2:41" s="2" customFormat="1" ht="21.95" customHeight="1">
      <c r="J32" s="248" t="s">
        <v>0</v>
      </c>
      <c r="K32" s="249"/>
      <c r="L32" s="254" t="s">
        <v>146</v>
      </c>
      <c r="M32" s="255"/>
      <c r="N32" s="254" t="s">
        <v>147</v>
      </c>
      <c r="O32" s="255"/>
      <c r="P32" s="260" t="s">
        <v>148</v>
      </c>
      <c r="Q32" s="261"/>
      <c r="R32" s="266" t="s">
        <v>141</v>
      </c>
      <c r="S32" s="178"/>
      <c r="T32" s="266" t="s">
        <v>145</v>
      </c>
      <c r="U32" s="178"/>
      <c r="V32" s="266" t="s">
        <v>143</v>
      </c>
      <c r="W32" s="178"/>
      <c r="X32" s="266" t="s">
        <v>110</v>
      </c>
      <c r="Y32" s="179"/>
      <c r="AO32" s="19"/>
    </row>
    <row r="33" spans="2:41" s="2" customFormat="1" ht="21.95" customHeight="1">
      <c r="J33" s="250"/>
      <c r="K33" s="251"/>
      <c r="L33" s="256"/>
      <c r="M33" s="257"/>
      <c r="N33" s="256"/>
      <c r="O33" s="257"/>
      <c r="P33" s="262"/>
      <c r="Q33" s="263"/>
      <c r="R33" s="267"/>
      <c r="S33" s="267"/>
      <c r="T33" s="269"/>
      <c r="U33" s="267"/>
      <c r="V33" s="269"/>
      <c r="W33" s="267"/>
      <c r="X33" s="267"/>
      <c r="Y33" s="272"/>
      <c r="AO33" s="19"/>
    </row>
    <row r="34" spans="2:41" s="2" customFormat="1" ht="21.95" customHeight="1" thickBot="1">
      <c r="J34" s="252"/>
      <c r="K34" s="253"/>
      <c r="L34" s="258"/>
      <c r="M34" s="259"/>
      <c r="N34" s="258"/>
      <c r="O34" s="259"/>
      <c r="P34" s="264"/>
      <c r="Q34" s="265"/>
      <c r="R34" s="268"/>
      <c r="S34" s="268"/>
      <c r="T34" s="268"/>
      <c r="U34" s="268"/>
      <c r="V34" s="268"/>
      <c r="W34" s="268"/>
      <c r="X34" s="268"/>
      <c r="Y34" s="273"/>
    </row>
    <row r="35" spans="2:41" s="2" customFormat="1" ht="21.95" customHeight="1">
      <c r="J35" s="239"/>
      <c r="K35" s="240"/>
      <c r="L35" s="241"/>
      <c r="M35" s="242"/>
      <c r="N35" s="241"/>
      <c r="O35" s="242"/>
      <c r="P35" s="243" t="str">
        <f>IF(L35="","",L35-N35)</f>
        <v/>
      </c>
      <c r="Q35" s="244"/>
      <c r="R35" s="245"/>
      <c r="S35" s="245"/>
      <c r="T35" s="217" t="str">
        <f>IF(P35="","",P35*R35*0.034*$V$4)</f>
        <v/>
      </c>
      <c r="U35" s="217"/>
      <c r="V35" s="215" t="str">
        <f>IF(P35="","",IF(ISERROR(P35*R35*0.034*$X$4),"-",P35*R35*0.034*$X$4))</f>
        <v/>
      </c>
      <c r="W35" s="216"/>
      <c r="X35" s="246" t="str">
        <f>IF(R35="","",R35*P35)</f>
        <v/>
      </c>
      <c r="Y35" s="247"/>
      <c r="AD35" s="37"/>
      <c r="AE35" s="37"/>
      <c r="AF35" s="37"/>
    </row>
    <row r="36" spans="2:41" s="2" customFormat="1" ht="21.95" customHeight="1">
      <c r="J36" s="230"/>
      <c r="K36" s="231"/>
      <c r="L36" s="232"/>
      <c r="M36" s="233"/>
      <c r="N36" s="232"/>
      <c r="O36" s="233"/>
      <c r="P36" s="234" t="str">
        <f t="shared" ref="P36:P37" si="10">IF(L36="","",L36-N36)</f>
        <v/>
      </c>
      <c r="Q36" s="235"/>
      <c r="R36" s="232"/>
      <c r="S36" s="233"/>
      <c r="T36" s="215" t="str">
        <f t="shared" ref="T36:T39" si="11">IF(P36="","",P36*R36*0.034*$V$4)</f>
        <v/>
      </c>
      <c r="U36" s="216"/>
      <c r="V36" s="215" t="str">
        <f t="shared" ref="V36:V39" si="12">IF(P36="","",IF(ISERROR(P36*R36*0.034*$X$4),"-",P36*R36*0.034*$X$4))</f>
        <v/>
      </c>
      <c r="W36" s="216"/>
      <c r="X36" s="215" t="str">
        <f t="shared" ref="X36:X39" si="13">IF(R36="","",R36*P36)</f>
        <v/>
      </c>
      <c r="Y36" s="238"/>
      <c r="AD36" s="37"/>
      <c r="AE36" s="37"/>
      <c r="AF36" s="37"/>
    </row>
    <row r="37" spans="2:41" s="2" customFormat="1" ht="21.95" customHeight="1">
      <c r="J37" s="230"/>
      <c r="K37" s="231"/>
      <c r="L37" s="232"/>
      <c r="M37" s="233"/>
      <c r="N37" s="232"/>
      <c r="O37" s="233"/>
      <c r="P37" s="234" t="str">
        <f t="shared" si="10"/>
        <v/>
      </c>
      <c r="Q37" s="235"/>
      <c r="R37" s="232"/>
      <c r="S37" s="233"/>
      <c r="T37" s="215" t="str">
        <f t="shared" si="11"/>
        <v/>
      </c>
      <c r="U37" s="216"/>
      <c r="V37" s="215" t="str">
        <f t="shared" si="12"/>
        <v/>
      </c>
      <c r="W37" s="216"/>
      <c r="X37" s="215" t="str">
        <f t="shared" si="13"/>
        <v/>
      </c>
      <c r="Y37" s="238"/>
      <c r="AD37" s="37"/>
      <c r="AE37" s="37"/>
      <c r="AF37" s="37"/>
    </row>
    <row r="38" spans="2:41" s="2" customFormat="1" ht="21.95" customHeight="1">
      <c r="J38" s="230"/>
      <c r="K38" s="231"/>
      <c r="L38" s="232"/>
      <c r="M38" s="233"/>
      <c r="N38" s="232"/>
      <c r="O38" s="233"/>
      <c r="P38" s="234" t="str">
        <f>IF(L38="","",L38-N38)</f>
        <v/>
      </c>
      <c r="Q38" s="235"/>
      <c r="R38" s="236"/>
      <c r="S38" s="236"/>
      <c r="T38" s="217" t="str">
        <f t="shared" si="11"/>
        <v/>
      </c>
      <c r="U38" s="217"/>
      <c r="V38" s="215" t="str">
        <f t="shared" si="12"/>
        <v/>
      </c>
      <c r="W38" s="216"/>
      <c r="X38" s="217" t="str">
        <f t="shared" si="13"/>
        <v/>
      </c>
      <c r="Y38" s="218"/>
      <c r="AD38" s="37"/>
      <c r="AE38" s="37"/>
      <c r="AF38" s="37"/>
    </row>
    <row r="39" spans="2:41" s="2" customFormat="1" ht="21.95" customHeight="1" thickBot="1">
      <c r="J39" s="219"/>
      <c r="K39" s="220"/>
      <c r="L39" s="221"/>
      <c r="M39" s="222"/>
      <c r="N39" s="221"/>
      <c r="O39" s="222"/>
      <c r="P39" s="223" t="str">
        <f>IF(L39="","",L39-N39)</f>
        <v/>
      </c>
      <c r="Q39" s="224"/>
      <c r="R39" s="225"/>
      <c r="S39" s="225"/>
      <c r="T39" s="226" t="str">
        <f t="shared" si="11"/>
        <v/>
      </c>
      <c r="U39" s="226"/>
      <c r="V39" s="227" t="str">
        <f t="shared" si="12"/>
        <v/>
      </c>
      <c r="W39" s="228"/>
      <c r="X39" s="226" t="str">
        <f t="shared" si="13"/>
        <v/>
      </c>
      <c r="Y39" s="229"/>
      <c r="AD39" s="37"/>
      <c r="AE39" s="37"/>
      <c r="AF39" s="37"/>
    </row>
    <row r="40" spans="2:41" s="2" customFormat="1" ht="21.95" customHeight="1" thickBot="1">
      <c r="J40" s="200" t="s">
        <v>198</v>
      </c>
      <c r="K40" s="201"/>
      <c r="L40" s="201"/>
      <c r="M40" s="201"/>
      <c r="N40" s="201"/>
      <c r="O40" s="201"/>
      <c r="P40" s="201"/>
      <c r="Q40" s="201"/>
      <c r="R40" s="201"/>
      <c r="S40" s="201"/>
      <c r="T40" s="202">
        <f>SUM(T35:U39)</f>
        <v>0</v>
      </c>
      <c r="U40" s="202"/>
      <c r="V40" s="202">
        <f>IF(共通条件・結果!AA7="８地域","-",SUM(V35:W39))</f>
        <v>0</v>
      </c>
      <c r="W40" s="202"/>
      <c r="X40" s="202">
        <f>SUM(X35:Y39)</f>
        <v>0</v>
      </c>
      <c r="Y40" s="203"/>
    </row>
    <row r="41" spans="2:41" s="2" customFormat="1" ht="12">
      <c r="J41" s="47"/>
    </row>
    <row r="42" spans="2:41" s="2" customFormat="1" ht="21.95" customHeight="1" thickBot="1">
      <c r="B42" s="4" t="s">
        <v>199</v>
      </c>
    </row>
    <row r="43" spans="2:41" s="2" customFormat="1" ht="21.95" customHeight="1">
      <c r="B43" s="204" t="s">
        <v>182</v>
      </c>
      <c r="C43" s="205"/>
      <c r="D43" s="136" t="s">
        <v>37</v>
      </c>
      <c r="E43" s="137"/>
      <c r="F43" s="137"/>
      <c r="G43" s="137"/>
      <c r="H43" s="137"/>
      <c r="I43" s="137"/>
      <c r="J43" s="138"/>
      <c r="K43" s="9"/>
      <c r="L43" s="210">
        <f>Q43+U43+Y43</f>
        <v>0</v>
      </c>
      <c r="M43" s="210"/>
      <c r="N43" s="210"/>
      <c r="O43" s="9" t="s">
        <v>22</v>
      </c>
      <c r="P43" s="10" t="s">
        <v>21</v>
      </c>
      <c r="Q43" s="211">
        <f>D8*F8+D9*F9+D10*F10+D11*F11+D12*F12+D13*F13+D14*F14+D15*F15+D16*F16+D17*F17+D18*F18+D19*F19</f>
        <v>0</v>
      </c>
      <c r="R43" s="211"/>
      <c r="S43" s="48" t="s">
        <v>23</v>
      </c>
      <c r="T43" s="48" t="s">
        <v>20</v>
      </c>
      <c r="U43" s="212">
        <f>N26*P26+N27*P27+N28*P28</f>
        <v>0</v>
      </c>
      <c r="V43" s="212"/>
      <c r="W43" s="48" t="s">
        <v>23</v>
      </c>
      <c r="X43" s="48" t="s">
        <v>1</v>
      </c>
      <c r="Y43" s="214">
        <f>SUM(P35:Q39)</f>
        <v>0</v>
      </c>
      <c r="Z43" s="214"/>
      <c r="AA43" s="49" t="s">
        <v>17</v>
      </c>
    </row>
    <row r="44" spans="2:41" s="2" customFormat="1" ht="21.95" customHeight="1">
      <c r="B44" s="206"/>
      <c r="C44" s="207"/>
      <c r="D44" s="141" t="s">
        <v>47</v>
      </c>
      <c r="E44" s="142"/>
      <c r="F44" s="142"/>
      <c r="G44" s="142"/>
      <c r="H44" s="142"/>
      <c r="I44" s="142"/>
      <c r="J44" s="143"/>
      <c r="K44" s="8"/>
      <c r="L44" s="8"/>
      <c r="M44" s="8"/>
      <c r="N44" s="8"/>
      <c r="O44" s="8"/>
      <c r="P44" s="8"/>
      <c r="Q44" s="8"/>
      <c r="R44" s="8"/>
      <c r="S44" s="8"/>
      <c r="T44" s="8"/>
      <c r="U44" s="8"/>
      <c r="V44" s="8"/>
      <c r="W44" s="197">
        <f>V20+V29+T40</f>
        <v>0</v>
      </c>
      <c r="X44" s="197"/>
      <c r="Y44" s="197"/>
      <c r="Z44" s="198" t="s">
        <v>113</v>
      </c>
      <c r="AA44" s="199"/>
    </row>
    <row r="45" spans="2:41" s="2" customFormat="1" ht="21.95" customHeight="1">
      <c r="B45" s="206"/>
      <c r="C45" s="207"/>
      <c r="D45" s="141" t="s">
        <v>48</v>
      </c>
      <c r="E45" s="142"/>
      <c r="F45" s="142"/>
      <c r="G45" s="142"/>
      <c r="H45" s="142"/>
      <c r="I45" s="142"/>
      <c r="J45" s="143"/>
      <c r="K45" s="8"/>
      <c r="L45" s="8"/>
      <c r="M45" s="8"/>
      <c r="N45" s="8"/>
      <c r="O45" s="8"/>
      <c r="P45" s="8"/>
      <c r="Q45" s="8"/>
      <c r="R45" s="8"/>
      <c r="S45" s="8"/>
      <c r="T45" s="8"/>
      <c r="U45" s="8"/>
      <c r="V45" s="8"/>
      <c r="W45" s="197">
        <f>IF(共通条件・結果!AA7="８地域","-",$X$20+$X$29+$V$40)</f>
        <v>0</v>
      </c>
      <c r="X45" s="197"/>
      <c r="Y45" s="197"/>
      <c r="Z45" s="198" t="s">
        <v>113</v>
      </c>
      <c r="AA45" s="199"/>
    </row>
    <row r="46" spans="2:41" s="2" customFormat="1" ht="21.95" customHeight="1" thickBot="1">
      <c r="B46" s="208"/>
      <c r="C46" s="209"/>
      <c r="D46" s="180" t="s">
        <v>18</v>
      </c>
      <c r="E46" s="181"/>
      <c r="F46" s="181"/>
      <c r="G46" s="181"/>
      <c r="H46" s="181"/>
      <c r="I46" s="181"/>
      <c r="J46" s="182"/>
      <c r="K46" s="7"/>
      <c r="L46" s="7"/>
      <c r="M46" s="7"/>
      <c r="N46" s="7"/>
      <c r="O46" s="7"/>
      <c r="P46" s="7"/>
      <c r="Q46" s="7"/>
      <c r="R46" s="7"/>
      <c r="S46" s="7"/>
      <c r="T46" s="7"/>
      <c r="U46" s="7"/>
      <c r="V46" s="7"/>
      <c r="W46" s="237">
        <f>Z20+Z29+X40</f>
        <v>0</v>
      </c>
      <c r="X46" s="237"/>
      <c r="Y46" s="237"/>
      <c r="Z46" s="44" t="s">
        <v>19</v>
      </c>
      <c r="AA46" s="50"/>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Jn7YinlJyFDHI+iv1dWovBRMaCXSqKQQpNMqG4wWbUXlD2fTxneYDNo1wEnptgip7xcUrSUzICW7rLaRZUFVNw==" saltValue="H+phrDV2MtNwwSEsBmVhWg==" spinCount="100000" sheet="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B8:U19">
    <cfRule type="expression" dxfId="61" priority="155" stopIfTrue="1">
      <formula>$AE$2&lt;&gt;2</formula>
    </cfRule>
  </conditionalFormatting>
  <conditionalFormatting sqref="J35:O39">
    <cfRule type="expression" dxfId="60" priority="81" stopIfTrue="1">
      <formula>$AE$2&lt;&gt;2</formula>
    </cfRule>
  </conditionalFormatting>
  <conditionalFormatting sqref="J26:U28">
    <cfRule type="expression" dxfId="59" priority="119" stopIfTrue="1">
      <formula>$AE$2&lt;&gt;2</formula>
    </cfRule>
  </conditionalFormatting>
  <conditionalFormatting sqref="L43:N43">
    <cfRule type="expression" dxfId="58" priority="7">
      <formula>$AE$2&lt;&gt;2</formula>
    </cfRule>
  </conditionalFormatting>
  <conditionalFormatting sqref="P35:Q39">
    <cfRule type="expression" dxfId="57" priority="14">
      <formula>$AE$2&lt;&gt;2</formula>
    </cfRule>
  </conditionalFormatting>
  <conditionalFormatting sqref="Q43:R43">
    <cfRule type="expression" dxfId="56" priority="6">
      <formula>$AE$2&lt;&gt;2</formula>
    </cfRule>
  </conditionalFormatting>
  <conditionalFormatting sqref="R35:S39">
    <cfRule type="expression" dxfId="55" priority="79" stopIfTrue="1">
      <formula>$AE$2&lt;&gt;2</formula>
    </cfRule>
  </conditionalFormatting>
  <conditionalFormatting sqref="T35:Y40">
    <cfRule type="expression" dxfId="54" priority="8">
      <formula>$AE$2&lt;&gt;2</formula>
    </cfRule>
  </conditionalFormatting>
  <conditionalFormatting sqref="U43:V43">
    <cfRule type="expression" dxfId="53" priority="5">
      <formula>$AE$2&lt;&gt;2</formula>
    </cfRule>
  </conditionalFormatting>
  <conditionalFormatting sqref="V8:AA19">
    <cfRule type="expression" dxfId="52" priority="43">
      <formula>$AE$2&lt;&gt;2</formula>
    </cfRule>
  </conditionalFormatting>
  <conditionalFormatting sqref="V26:AA29">
    <cfRule type="expression" dxfId="51" priority="31">
      <formula>$AE$2&lt;&gt;2</formula>
    </cfRule>
  </conditionalFormatting>
  <conditionalFormatting sqref="W44:Y46">
    <cfRule type="expression" dxfId="50" priority="1">
      <formula>$AE$2&lt;&gt;2</formula>
    </cfRule>
  </conditionalFormatting>
  <conditionalFormatting sqref="Y43:Z43">
    <cfRule type="expression" dxfId="49" priority="4">
      <formula>$AE$2&lt;&gt;2</formula>
    </cfRule>
  </conditionalFormatting>
  <dataValidations count="1">
    <dataValidation type="list" allowBlank="1" showInputMessage="1" showErrorMessage="1" sqref="M14:M19 L8:L19 M8:M11 T26:T28 U26 U28" xr:uid="{00000000-0002-0000-06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21858"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21859"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21860"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21861"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21862"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21863"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21864"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21865"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21866"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21867"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21868"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AS108"/>
  <sheetViews>
    <sheetView view="pageBreakPreview" zoomScale="85" zoomScaleNormal="100" zoomScaleSheetLayoutView="85" workbookViewId="0">
      <selection activeCell="B9" sqref="B9:C9"/>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361" t="s">
        <v>190</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E2" s="101">
        <f>共通条件・結果!AE2</f>
        <v>1</v>
      </c>
    </row>
    <row r="3" spans="2:41" s="2" customFormat="1" ht="24.95" customHeight="1" thickBot="1">
      <c r="AE3" s="2" t="s">
        <v>271</v>
      </c>
    </row>
    <row r="4" spans="2:41" s="2" customFormat="1" ht="21.95" customHeight="1" thickBot="1">
      <c r="B4" s="4" t="s">
        <v>5</v>
      </c>
      <c r="R4" s="362" t="s">
        <v>33</v>
      </c>
      <c r="S4" s="363"/>
      <c r="T4" s="363"/>
      <c r="U4" s="364"/>
      <c r="V4" s="365" t="b">
        <f>IF(共通条件・結果!AA7="８地域","0.505",IF(共通条件・結果!AA7="７地域",0.495,IF(共通条件・結果!AA7="６地域",0.504,IF(共通条件・結果!AA7="５地域",0.518,IF(共通条件・結果!AA7="４地域",0.481,IF(共通条件・結果!AA7="３地域",0.553,IF(共通条件・結果!AA7="２地域",0.529,IF(共通条件・結果!AA7="１地域",0.508))))))))</f>
        <v>0</v>
      </c>
      <c r="W4" s="366"/>
      <c r="X4" s="365" t="b">
        <f>IF(共通条件・結果!AA7="８地域","-",IF(共通条件・結果!AA7="７地域",0.548,IF(共通条件・結果!AA7="６地域",0.523,IF(共通条件・結果!AA7="５地域",0.538,IF(共通条件・結果!AA7="４地域",0.527,IF(共通条件・結果!AA7="３地域",0.542,IF(共通条件・結果!AA7="２地域",0.544,IF(共通条件・結果!AA7="１地域",0.535))))))))</f>
        <v>0</v>
      </c>
      <c r="Y4" s="366"/>
    </row>
    <row r="5" spans="2:41" s="2" customFormat="1" ht="21.95" customHeight="1">
      <c r="B5" s="367" t="s">
        <v>6</v>
      </c>
      <c r="C5" s="178"/>
      <c r="D5" s="178" t="s">
        <v>140</v>
      </c>
      <c r="E5" s="178"/>
      <c r="F5" s="178"/>
      <c r="G5" s="178"/>
      <c r="H5" s="266" t="s">
        <v>141</v>
      </c>
      <c r="I5" s="178"/>
      <c r="J5" s="266" t="s">
        <v>65</v>
      </c>
      <c r="K5" s="178"/>
      <c r="L5" s="266" t="s">
        <v>9</v>
      </c>
      <c r="M5" s="178"/>
      <c r="N5" s="370" t="s">
        <v>46</v>
      </c>
      <c r="O5" s="214"/>
      <c r="P5" s="214"/>
      <c r="Q5" s="214"/>
      <c r="R5" s="214"/>
      <c r="S5" s="214"/>
      <c r="T5" s="214"/>
      <c r="U5" s="214"/>
      <c r="V5" s="266" t="s">
        <v>142</v>
      </c>
      <c r="W5" s="178"/>
      <c r="X5" s="266" t="s">
        <v>143</v>
      </c>
      <c r="Y5" s="178"/>
      <c r="Z5" s="266" t="s">
        <v>110</v>
      </c>
      <c r="AA5" s="179"/>
    </row>
    <row r="6" spans="2:41" s="2" customFormat="1" ht="21.95" customHeight="1">
      <c r="B6" s="368"/>
      <c r="C6" s="267"/>
      <c r="D6" s="349" t="s">
        <v>8</v>
      </c>
      <c r="E6" s="350"/>
      <c r="F6" s="353" t="s">
        <v>7</v>
      </c>
      <c r="G6" s="354"/>
      <c r="H6" s="267"/>
      <c r="I6" s="267"/>
      <c r="J6" s="269"/>
      <c r="K6" s="267"/>
      <c r="L6" s="269"/>
      <c r="M6" s="267"/>
      <c r="N6" s="355" t="s">
        <v>45</v>
      </c>
      <c r="O6" s="356"/>
      <c r="P6" s="358" t="s">
        <v>144</v>
      </c>
      <c r="Q6" s="359"/>
      <c r="R6" s="359"/>
      <c r="S6" s="359"/>
      <c r="T6" s="359"/>
      <c r="U6" s="360"/>
      <c r="V6" s="269"/>
      <c r="W6" s="267"/>
      <c r="X6" s="269"/>
      <c r="Y6" s="267"/>
      <c r="Z6" s="267"/>
      <c r="AA6" s="272"/>
      <c r="AD6" s="287" t="s">
        <v>49</v>
      </c>
      <c r="AE6" s="287"/>
      <c r="AF6" s="19"/>
      <c r="AG6" s="19"/>
      <c r="AH6" s="287" t="s">
        <v>12</v>
      </c>
      <c r="AI6" s="287"/>
      <c r="AJ6" s="19"/>
      <c r="AK6" s="287" t="s">
        <v>50</v>
      </c>
      <c r="AL6" s="287"/>
      <c r="AN6" s="287" t="s">
        <v>58</v>
      </c>
      <c r="AO6" s="287"/>
    </row>
    <row r="7" spans="2:41" s="2" customFormat="1" ht="21.95" customHeight="1" thickBot="1">
      <c r="B7" s="369"/>
      <c r="C7" s="268"/>
      <c r="D7" s="351"/>
      <c r="E7" s="352"/>
      <c r="F7" s="297"/>
      <c r="G7" s="253"/>
      <c r="H7" s="268"/>
      <c r="I7" s="268"/>
      <c r="J7" s="268"/>
      <c r="K7" s="268"/>
      <c r="L7" s="268"/>
      <c r="M7" s="268"/>
      <c r="N7" s="258"/>
      <c r="O7" s="357"/>
      <c r="P7" s="253" t="s">
        <v>10</v>
      </c>
      <c r="Q7" s="300"/>
      <c r="R7" s="346" t="s">
        <v>11</v>
      </c>
      <c r="S7" s="347"/>
      <c r="T7" s="253" t="s">
        <v>3</v>
      </c>
      <c r="U7" s="300"/>
      <c r="V7" s="268"/>
      <c r="W7" s="268"/>
      <c r="X7" s="268"/>
      <c r="Y7" s="268"/>
      <c r="Z7" s="268"/>
      <c r="AA7" s="273"/>
      <c r="AD7" s="19" t="s">
        <v>4</v>
      </c>
      <c r="AE7" s="19" t="s">
        <v>16</v>
      </c>
      <c r="AF7" s="19"/>
      <c r="AG7" s="19"/>
      <c r="AH7" s="19" t="s">
        <v>4</v>
      </c>
      <c r="AI7" s="19" t="s">
        <v>16</v>
      </c>
      <c r="AJ7" s="19"/>
      <c r="AK7" s="19" t="s">
        <v>4</v>
      </c>
      <c r="AL7" s="19" t="s">
        <v>16</v>
      </c>
      <c r="AN7" s="45" t="s">
        <v>56</v>
      </c>
      <c r="AO7" s="2" t="s">
        <v>54</v>
      </c>
    </row>
    <row r="8" spans="2:41" s="2" customFormat="1" ht="21.95" customHeight="1">
      <c r="B8" s="239"/>
      <c r="C8" s="345"/>
      <c r="D8" s="291"/>
      <c r="E8" s="292"/>
      <c r="F8" s="292"/>
      <c r="G8" s="293"/>
      <c r="H8" s="245"/>
      <c r="I8" s="245"/>
      <c r="J8" s="245"/>
      <c r="K8" s="245"/>
      <c r="L8" s="317"/>
      <c r="M8" s="317"/>
      <c r="N8" s="337"/>
      <c r="O8" s="338"/>
      <c r="P8" s="339"/>
      <c r="Q8" s="340"/>
      <c r="R8" s="341"/>
      <c r="S8" s="342"/>
      <c r="T8" s="343"/>
      <c r="U8" s="339"/>
      <c r="V8" s="344" t="str">
        <f>IF(D8="","",AD8)</f>
        <v/>
      </c>
      <c r="W8" s="344"/>
      <c r="X8" s="344" t="str">
        <f t="shared" ref="X8:X19" si="0">IF(D8="","",IF(ISERROR(AE8),"-",AE8))</f>
        <v/>
      </c>
      <c r="Y8" s="344"/>
      <c r="Z8" s="344" t="str">
        <f>IF(D8="","",D8*F8*AN8)</f>
        <v/>
      </c>
      <c r="AA8" s="371"/>
      <c r="AD8" s="2" t="e">
        <f>D8*F8*J8*$V$4*AH8</f>
        <v>#VALUE!</v>
      </c>
      <c r="AE8" s="2" t="e">
        <f>D8*F8*J8*$X$4*AI8</f>
        <v>#VALUE!</v>
      </c>
      <c r="AG8" s="37" t="b">
        <v>0</v>
      </c>
      <c r="AH8" s="2" t="str">
        <f>IF(AG8=TRUE,"0.93",IF(ISERROR(AK8),"エラー",IF(AK8&gt;0.93,"0.93",AK8)))</f>
        <v>エラー</v>
      </c>
      <c r="AI8" s="2" t="str">
        <f>IF(AG8=TRUE,"0.51",IF(ISERROR(AL8),"エラー",IF(AL8&gt;0.72,"0.72",AL8)))</f>
        <v>エラー</v>
      </c>
      <c r="AK8" s="2" t="e">
        <f>0.01*(16+24*(2*R8+T8)/P8)</f>
        <v>#DIV/0!</v>
      </c>
      <c r="AL8" s="2" t="e">
        <f>0.01*(10+15*(2*R8+T8)/P8)</f>
        <v>#DIV/0!</v>
      </c>
      <c r="AN8" s="2">
        <f>IF(AO8="FALSE",H8,IF(L8="風除室",1/((1/H8)+0.1),0.5*H8+0.5*(1/((1/H8)+AO8))))</f>
        <v>0</v>
      </c>
      <c r="AO8" s="19" t="str">
        <f t="shared" ref="AO8:AO19" si="1">IF(L8="","FALSE",IF(L8="雨戸",0.1,IF(L8="ｼｬｯﾀｰ",0.1,IF(L8="障子",0.18,IF(L8="風除室",0.1)))))</f>
        <v>FALSE</v>
      </c>
    </row>
    <row r="9" spans="2:41" s="2" customFormat="1" ht="21.95" customHeight="1">
      <c r="B9" s="230"/>
      <c r="C9" s="331"/>
      <c r="D9" s="332"/>
      <c r="E9" s="333"/>
      <c r="F9" s="333"/>
      <c r="G9" s="334"/>
      <c r="H9" s="236"/>
      <c r="I9" s="236"/>
      <c r="J9" s="236"/>
      <c r="K9" s="236"/>
      <c r="L9" s="281"/>
      <c r="M9" s="281"/>
      <c r="N9" s="323"/>
      <c r="O9" s="324"/>
      <c r="P9" s="325"/>
      <c r="Q9" s="326"/>
      <c r="R9" s="327"/>
      <c r="S9" s="328"/>
      <c r="T9" s="329"/>
      <c r="U9" s="325"/>
      <c r="V9" s="217" t="str">
        <f t="shared" ref="V9:V19" si="2">IF(D9="","",AD9)</f>
        <v/>
      </c>
      <c r="W9" s="217"/>
      <c r="X9" s="217" t="str">
        <f t="shared" si="0"/>
        <v/>
      </c>
      <c r="Y9" s="217"/>
      <c r="Z9" s="217" t="str">
        <f t="shared" ref="Z9:Z19" si="3">IF(D9="","",D9*F9*AN9)</f>
        <v/>
      </c>
      <c r="AA9" s="218"/>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 t="shared" ref="AK9:AK19" si="8">0.01*(16+24*(2*R9+T9)/P9)</f>
        <v>#DIV/0!</v>
      </c>
      <c r="AL9" s="2" t="e">
        <f t="shared" ref="AL9:AL19" si="9">0.01*(10+15*(2*R9+T9)/P9)</f>
        <v>#DIV/0!</v>
      </c>
      <c r="AN9" s="2">
        <f t="shared" ref="AN9:AN19" si="10">IF(AO9="FALSE",H9,IF(L9="風除室",1/((1/H9)+0.1),0.5*H9+0.5*(1/((1/H9)+AO9))))</f>
        <v>0</v>
      </c>
      <c r="AO9" s="19" t="str">
        <f t="shared" si="1"/>
        <v>FALSE</v>
      </c>
    </row>
    <row r="10" spans="2:41" s="2" customFormat="1" ht="21.95" customHeight="1">
      <c r="B10" s="230"/>
      <c r="C10" s="331"/>
      <c r="D10" s="332"/>
      <c r="E10" s="333"/>
      <c r="F10" s="333"/>
      <c r="G10" s="334"/>
      <c r="H10" s="236"/>
      <c r="I10" s="236"/>
      <c r="J10" s="236"/>
      <c r="K10" s="236"/>
      <c r="L10" s="281"/>
      <c r="M10" s="281"/>
      <c r="N10" s="323"/>
      <c r="O10" s="324"/>
      <c r="P10" s="326"/>
      <c r="Q10" s="335"/>
      <c r="R10" s="330"/>
      <c r="S10" s="335"/>
      <c r="T10" s="330"/>
      <c r="U10" s="329"/>
      <c r="V10" s="217" t="str">
        <f t="shared" si="2"/>
        <v/>
      </c>
      <c r="W10" s="217"/>
      <c r="X10" s="217" t="str">
        <f t="shared" si="0"/>
        <v/>
      </c>
      <c r="Y10" s="217"/>
      <c r="Z10" s="217" t="str">
        <f t="shared" si="3"/>
        <v/>
      </c>
      <c r="AA10" s="218"/>
      <c r="AD10" s="2" t="e">
        <f t="shared" si="4"/>
        <v>#VALUE!</v>
      </c>
      <c r="AE10" s="2" t="e">
        <f t="shared" si="5"/>
        <v>#VALUE!</v>
      </c>
      <c r="AG10" s="37" t="b">
        <v>0</v>
      </c>
      <c r="AH10" s="2" t="str">
        <f t="shared" si="6"/>
        <v>エラー</v>
      </c>
      <c r="AI10" s="2" t="str">
        <f t="shared" si="7"/>
        <v>エラー</v>
      </c>
      <c r="AK10" s="2" t="e">
        <f t="shared" si="8"/>
        <v>#DIV/0!</v>
      </c>
      <c r="AL10" s="2" t="e">
        <f t="shared" si="9"/>
        <v>#DIV/0!</v>
      </c>
      <c r="AN10" s="2">
        <f t="shared" si="10"/>
        <v>0</v>
      </c>
      <c r="AO10" s="19" t="str">
        <f t="shared" si="1"/>
        <v>FALSE</v>
      </c>
    </row>
    <row r="11" spans="2:41" s="2" customFormat="1" ht="21.95" customHeight="1">
      <c r="B11" s="230"/>
      <c r="C11" s="331"/>
      <c r="D11" s="332"/>
      <c r="E11" s="333"/>
      <c r="F11" s="333"/>
      <c r="G11" s="334"/>
      <c r="H11" s="236"/>
      <c r="I11" s="236"/>
      <c r="J11" s="236"/>
      <c r="K11" s="236"/>
      <c r="L11" s="281"/>
      <c r="M11" s="281"/>
      <c r="N11" s="323"/>
      <c r="O11" s="324"/>
      <c r="P11" s="326"/>
      <c r="Q11" s="335"/>
      <c r="R11" s="330"/>
      <c r="S11" s="335"/>
      <c r="T11" s="330"/>
      <c r="U11" s="329"/>
      <c r="V11" s="217" t="str">
        <f t="shared" si="2"/>
        <v/>
      </c>
      <c r="W11" s="217"/>
      <c r="X11" s="217" t="str">
        <f t="shared" si="0"/>
        <v/>
      </c>
      <c r="Y11" s="217"/>
      <c r="Z11" s="217" t="str">
        <f t="shared" si="3"/>
        <v/>
      </c>
      <c r="AA11" s="218"/>
      <c r="AD11" s="2" t="e">
        <f t="shared" si="4"/>
        <v>#VALUE!</v>
      </c>
      <c r="AE11" s="2" t="e">
        <f t="shared" si="5"/>
        <v>#VALUE!</v>
      </c>
      <c r="AG11" s="37" t="b">
        <v>0</v>
      </c>
      <c r="AH11" s="2" t="str">
        <f t="shared" si="6"/>
        <v>エラー</v>
      </c>
      <c r="AI11" s="2" t="str">
        <f t="shared" si="7"/>
        <v>エラー</v>
      </c>
      <c r="AK11" s="2" t="e">
        <f t="shared" si="8"/>
        <v>#DIV/0!</v>
      </c>
      <c r="AL11" s="2" t="e">
        <f t="shared" si="9"/>
        <v>#DIV/0!</v>
      </c>
      <c r="AN11" s="2">
        <f t="shared" si="10"/>
        <v>0</v>
      </c>
      <c r="AO11" s="19" t="str">
        <f t="shared" si="1"/>
        <v>FALSE</v>
      </c>
    </row>
    <row r="12" spans="2:41" s="2" customFormat="1" ht="21.95" customHeight="1">
      <c r="B12" s="230"/>
      <c r="C12" s="231"/>
      <c r="D12" s="232"/>
      <c r="E12" s="285"/>
      <c r="F12" s="286"/>
      <c r="G12" s="233"/>
      <c r="H12" s="232"/>
      <c r="I12" s="233"/>
      <c r="J12" s="232"/>
      <c r="K12" s="233"/>
      <c r="L12" s="295"/>
      <c r="M12" s="296"/>
      <c r="N12" s="323"/>
      <c r="O12" s="336"/>
      <c r="P12" s="326"/>
      <c r="Q12" s="335"/>
      <c r="R12" s="330"/>
      <c r="S12" s="335"/>
      <c r="T12" s="330"/>
      <c r="U12" s="329"/>
      <c r="V12" s="215" t="str">
        <f t="shared" si="2"/>
        <v/>
      </c>
      <c r="W12" s="216"/>
      <c r="X12" s="215" t="str">
        <f t="shared" si="0"/>
        <v/>
      </c>
      <c r="Y12" s="216"/>
      <c r="Z12" s="215" t="str">
        <f t="shared" si="3"/>
        <v/>
      </c>
      <c r="AA12" s="238"/>
      <c r="AD12" s="2" t="e">
        <f t="shared" si="4"/>
        <v>#VALUE!</v>
      </c>
      <c r="AE12" s="2" t="e">
        <f t="shared" si="5"/>
        <v>#VALUE!</v>
      </c>
      <c r="AG12" s="37" t="b">
        <v>0</v>
      </c>
      <c r="AH12" s="2" t="str">
        <f t="shared" si="6"/>
        <v>エラー</v>
      </c>
      <c r="AI12" s="2" t="str">
        <f t="shared" si="7"/>
        <v>エラー</v>
      </c>
      <c r="AK12" s="2" t="e">
        <f t="shared" si="8"/>
        <v>#DIV/0!</v>
      </c>
      <c r="AL12" s="2" t="e">
        <f t="shared" si="9"/>
        <v>#DIV/0!</v>
      </c>
      <c r="AN12" s="2">
        <f t="shared" si="10"/>
        <v>0</v>
      </c>
      <c r="AO12" s="19" t="str">
        <f t="shared" si="1"/>
        <v>FALSE</v>
      </c>
    </row>
    <row r="13" spans="2:41" s="2" customFormat="1" ht="21.95" customHeight="1">
      <c r="B13" s="230"/>
      <c r="C13" s="231"/>
      <c r="D13" s="232"/>
      <c r="E13" s="285"/>
      <c r="F13" s="286"/>
      <c r="G13" s="233"/>
      <c r="H13" s="232"/>
      <c r="I13" s="233"/>
      <c r="J13" s="232"/>
      <c r="K13" s="233"/>
      <c r="L13" s="295"/>
      <c r="M13" s="296"/>
      <c r="N13" s="323"/>
      <c r="O13" s="336"/>
      <c r="P13" s="326"/>
      <c r="Q13" s="335"/>
      <c r="R13" s="330"/>
      <c r="S13" s="335"/>
      <c r="T13" s="330"/>
      <c r="U13" s="329"/>
      <c r="V13" s="215" t="str">
        <f t="shared" si="2"/>
        <v/>
      </c>
      <c r="W13" s="216"/>
      <c r="X13" s="215" t="str">
        <f t="shared" si="0"/>
        <v/>
      </c>
      <c r="Y13" s="216"/>
      <c r="Z13" s="215" t="str">
        <f t="shared" si="3"/>
        <v/>
      </c>
      <c r="AA13" s="238"/>
      <c r="AD13" s="2" t="e">
        <f t="shared" si="4"/>
        <v>#VALUE!</v>
      </c>
      <c r="AE13" s="2" t="e">
        <f t="shared" si="5"/>
        <v>#VALUE!</v>
      </c>
      <c r="AG13" s="37" t="b">
        <v>0</v>
      </c>
      <c r="AH13" s="2" t="str">
        <f t="shared" si="6"/>
        <v>エラー</v>
      </c>
      <c r="AI13" s="2" t="str">
        <f t="shared" si="7"/>
        <v>エラー</v>
      </c>
      <c r="AK13" s="2" t="e">
        <f t="shared" si="8"/>
        <v>#DIV/0!</v>
      </c>
      <c r="AL13" s="2" t="e">
        <f t="shared" si="9"/>
        <v>#DIV/0!</v>
      </c>
      <c r="AN13" s="2">
        <f t="shared" si="10"/>
        <v>0</v>
      </c>
      <c r="AO13" s="19" t="str">
        <f t="shared" si="1"/>
        <v>FALSE</v>
      </c>
    </row>
    <row r="14" spans="2:41" s="2" customFormat="1" ht="21.95" customHeight="1">
      <c r="B14" s="230"/>
      <c r="C14" s="331"/>
      <c r="D14" s="332"/>
      <c r="E14" s="333"/>
      <c r="F14" s="333"/>
      <c r="G14" s="334"/>
      <c r="H14" s="236"/>
      <c r="I14" s="236"/>
      <c r="J14" s="236"/>
      <c r="K14" s="236"/>
      <c r="L14" s="281"/>
      <c r="M14" s="281"/>
      <c r="N14" s="323"/>
      <c r="O14" s="324"/>
      <c r="P14" s="326"/>
      <c r="Q14" s="335"/>
      <c r="R14" s="330"/>
      <c r="S14" s="335"/>
      <c r="T14" s="330"/>
      <c r="U14" s="329"/>
      <c r="V14" s="217" t="str">
        <f t="shared" si="2"/>
        <v/>
      </c>
      <c r="W14" s="217"/>
      <c r="X14" s="217" t="str">
        <f t="shared" si="0"/>
        <v/>
      </c>
      <c r="Y14" s="217"/>
      <c r="Z14" s="217" t="str">
        <f t="shared" si="3"/>
        <v/>
      </c>
      <c r="AA14" s="218"/>
      <c r="AD14" s="2" t="e">
        <f t="shared" si="4"/>
        <v>#VALUE!</v>
      </c>
      <c r="AE14" s="2" t="e">
        <f t="shared" si="5"/>
        <v>#VALUE!</v>
      </c>
      <c r="AG14" s="37" t="b">
        <v>0</v>
      </c>
      <c r="AH14" s="2" t="str">
        <f t="shared" si="6"/>
        <v>エラー</v>
      </c>
      <c r="AI14" s="2" t="str">
        <f t="shared" si="7"/>
        <v>エラー</v>
      </c>
      <c r="AK14" s="2" t="e">
        <f t="shared" si="8"/>
        <v>#DIV/0!</v>
      </c>
      <c r="AL14" s="2" t="e">
        <f t="shared" si="9"/>
        <v>#DIV/0!</v>
      </c>
      <c r="AN14" s="2">
        <f t="shared" si="10"/>
        <v>0</v>
      </c>
      <c r="AO14" s="19" t="str">
        <f t="shared" si="1"/>
        <v>FALSE</v>
      </c>
    </row>
    <row r="15" spans="2:41" s="2" customFormat="1" ht="21.95" customHeight="1">
      <c r="B15" s="230"/>
      <c r="C15" s="331"/>
      <c r="D15" s="332"/>
      <c r="E15" s="333"/>
      <c r="F15" s="333"/>
      <c r="G15" s="334"/>
      <c r="H15" s="236"/>
      <c r="I15" s="236"/>
      <c r="J15" s="236"/>
      <c r="K15" s="236"/>
      <c r="L15" s="281"/>
      <c r="M15" s="281"/>
      <c r="N15" s="323"/>
      <c r="O15" s="324"/>
      <c r="P15" s="326"/>
      <c r="Q15" s="335"/>
      <c r="R15" s="330"/>
      <c r="S15" s="335"/>
      <c r="T15" s="330"/>
      <c r="U15" s="329"/>
      <c r="V15" s="215" t="str">
        <f t="shared" si="2"/>
        <v/>
      </c>
      <c r="W15" s="216"/>
      <c r="X15" s="217" t="str">
        <f t="shared" si="0"/>
        <v/>
      </c>
      <c r="Y15" s="217"/>
      <c r="Z15" s="217" t="str">
        <f t="shared" si="3"/>
        <v/>
      </c>
      <c r="AA15" s="218"/>
      <c r="AD15" s="2" t="e">
        <f t="shared" si="4"/>
        <v>#VALUE!</v>
      </c>
      <c r="AE15" s="2" t="e">
        <f t="shared" si="5"/>
        <v>#VALUE!</v>
      </c>
      <c r="AG15" s="37" t="b">
        <v>0</v>
      </c>
      <c r="AH15" s="2" t="str">
        <f t="shared" si="6"/>
        <v>エラー</v>
      </c>
      <c r="AI15" s="2" t="str">
        <f t="shared" si="7"/>
        <v>エラー</v>
      </c>
      <c r="AK15" s="2" t="e">
        <f t="shared" si="8"/>
        <v>#DIV/0!</v>
      </c>
      <c r="AL15" s="2" t="e">
        <f t="shared" si="9"/>
        <v>#DIV/0!</v>
      </c>
      <c r="AN15" s="2">
        <f t="shared" si="10"/>
        <v>0</v>
      </c>
      <c r="AO15" s="19" t="str">
        <f t="shared" si="1"/>
        <v>FALSE</v>
      </c>
    </row>
    <row r="16" spans="2:41" s="2" customFormat="1" ht="21.95" customHeight="1">
      <c r="B16" s="230"/>
      <c r="C16" s="331"/>
      <c r="D16" s="332"/>
      <c r="E16" s="333"/>
      <c r="F16" s="333"/>
      <c r="G16" s="334"/>
      <c r="H16" s="236"/>
      <c r="I16" s="236"/>
      <c r="J16" s="236"/>
      <c r="K16" s="236"/>
      <c r="L16" s="281"/>
      <c r="M16" s="281"/>
      <c r="N16" s="323"/>
      <c r="O16" s="324"/>
      <c r="P16" s="326"/>
      <c r="Q16" s="335"/>
      <c r="R16" s="330"/>
      <c r="S16" s="335"/>
      <c r="T16" s="330"/>
      <c r="U16" s="329"/>
      <c r="V16" s="215" t="str">
        <f t="shared" si="2"/>
        <v/>
      </c>
      <c r="W16" s="216"/>
      <c r="X16" s="217" t="str">
        <f t="shared" si="0"/>
        <v/>
      </c>
      <c r="Y16" s="217"/>
      <c r="Z16" s="217" t="str">
        <f t="shared" si="3"/>
        <v/>
      </c>
      <c r="AA16" s="218"/>
      <c r="AD16" s="2" t="e">
        <f t="shared" si="4"/>
        <v>#VALUE!</v>
      </c>
      <c r="AE16" s="2" t="e">
        <f t="shared" si="5"/>
        <v>#VALUE!</v>
      </c>
      <c r="AG16" s="37" t="b">
        <v>0</v>
      </c>
      <c r="AH16" s="2" t="str">
        <f t="shared" si="6"/>
        <v>エラー</v>
      </c>
      <c r="AI16" s="2" t="str">
        <f t="shared" si="7"/>
        <v>エラー</v>
      </c>
      <c r="AK16" s="2" t="e">
        <f t="shared" si="8"/>
        <v>#DIV/0!</v>
      </c>
      <c r="AL16" s="2" t="e">
        <f t="shared" si="9"/>
        <v>#DIV/0!</v>
      </c>
      <c r="AN16" s="2">
        <f t="shared" si="10"/>
        <v>0</v>
      </c>
      <c r="AO16" s="19" t="str">
        <f t="shared" si="1"/>
        <v>FALSE</v>
      </c>
    </row>
    <row r="17" spans="2:41" s="2" customFormat="1" ht="21.95" customHeight="1">
      <c r="B17" s="230"/>
      <c r="C17" s="331"/>
      <c r="D17" s="332"/>
      <c r="E17" s="333"/>
      <c r="F17" s="333"/>
      <c r="G17" s="334"/>
      <c r="H17" s="236"/>
      <c r="I17" s="236"/>
      <c r="J17" s="236"/>
      <c r="K17" s="236"/>
      <c r="L17" s="281"/>
      <c r="M17" s="281"/>
      <c r="N17" s="323"/>
      <c r="O17" s="324"/>
      <c r="P17" s="325"/>
      <c r="Q17" s="326"/>
      <c r="R17" s="330"/>
      <c r="S17" s="335"/>
      <c r="T17" s="330"/>
      <c r="U17" s="329"/>
      <c r="V17" s="215" t="str">
        <f t="shared" si="2"/>
        <v/>
      </c>
      <c r="W17" s="216"/>
      <c r="X17" s="217" t="str">
        <f t="shared" si="0"/>
        <v/>
      </c>
      <c r="Y17" s="217"/>
      <c r="Z17" s="217" t="str">
        <f t="shared" si="3"/>
        <v/>
      </c>
      <c r="AA17" s="218"/>
      <c r="AD17" s="2" t="e">
        <f t="shared" si="4"/>
        <v>#VALUE!</v>
      </c>
      <c r="AE17" s="2" t="e">
        <f t="shared" si="5"/>
        <v>#VALUE!</v>
      </c>
      <c r="AG17" s="37" t="b">
        <v>0</v>
      </c>
      <c r="AH17" s="2" t="str">
        <f t="shared" si="6"/>
        <v>エラー</v>
      </c>
      <c r="AI17" s="2" t="str">
        <f t="shared" si="7"/>
        <v>エラー</v>
      </c>
      <c r="AK17" s="2" t="e">
        <f t="shared" si="8"/>
        <v>#DIV/0!</v>
      </c>
      <c r="AL17" s="2" t="e">
        <f t="shared" si="9"/>
        <v>#DIV/0!</v>
      </c>
      <c r="AN17" s="2">
        <f t="shared" si="10"/>
        <v>0</v>
      </c>
      <c r="AO17" s="19" t="str">
        <f t="shared" si="1"/>
        <v>FALSE</v>
      </c>
    </row>
    <row r="18" spans="2:41" s="2" customFormat="1" ht="21.95" customHeight="1">
      <c r="B18" s="230"/>
      <c r="C18" s="331"/>
      <c r="D18" s="332"/>
      <c r="E18" s="333"/>
      <c r="F18" s="333"/>
      <c r="G18" s="334"/>
      <c r="H18" s="236"/>
      <c r="I18" s="236"/>
      <c r="J18" s="236"/>
      <c r="K18" s="236"/>
      <c r="L18" s="281"/>
      <c r="M18" s="281"/>
      <c r="N18" s="323"/>
      <c r="O18" s="324"/>
      <c r="P18" s="325"/>
      <c r="Q18" s="326"/>
      <c r="R18" s="327"/>
      <c r="S18" s="328"/>
      <c r="T18" s="329"/>
      <c r="U18" s="325"/>
      <c r="V18" s="215" t="str">
        <f t="shared" si="2"/>
        <v/>
      </c>
      <c r="W18" s="216"/>
      <c r="X18" s="217" t="str">
        <f t="shared" si="0"/>
        <v/>
      </c>
      <c r="Y18" s="217"/>
      <c r="Z18" s="217" t="str">
        <f t="shared" si="3"/>
        <v/>
      </c>
      <c r="AA18" s="218"/>
      <c r="AD18" s="2" t="e">
        <f t="shared" si="4"/>
        <v>#VALUE!</v>
      </c>
      <c r="AE18" s="2" t="e">
        <f t="shared" si="5"/>
        <v>#VALUE!</v>
      </c>
      <c r="AG18" s="37" t="b">
        <v>0</v>
      </c>
      <c r="AH18" s="2" t="str">
        <f t="shared" si="6"/>
        <v>エラー</v>
      </c>
      <c r="AI18" s="2" t="str">
        <f t="shared" si="7"/>
        <v>エラー</v>
      </c>
      <c r="AK18" s="2" t="e">
        <f t="shared" si="8"/>
        <v>#DIV/0!</v>
      </c>
      <c r="AL18" s="2" t="e">
        <f t="shared" si="9"/>
        <v>#DIV/0!</v>
      </c>
      <c r="AN18" s="2">
        <f t="shared" si="10"/>
        <v>0</v>
      </c>
      <c r="AO18" s="19" t="str">
        <f t="shared" si="1"/>
        <v>FALSE</v>
      </c>
    </row>
    <row r="19" spans="2:41" s="2" customFormat="1" ht="21.95" customHeight="1" thickBot="1">
      <c r="B19" s="219"/>
      <c r="C19" s="316"/>
      <c r="D19" s="277"/>
      <c r="E19" s="278"/>
      <c r="F19" s="278"/>
      <c r="G19" s="279"/>
      <c r="H19" s="280"/>
      <c r="I19" s="280"/>
      <c r="J19" s="280"/>
      <c r="K19" s="280"/>
      <c r="L19" s="317"/>
      <c r="M19" s="317"/>
      <c r="N19" s="318"/>
      <c r="O19" s="319"/>
      <c r="P19" s="315"/>
      <c r="Q19" s="320"/>
      <c r="R19" s="321"/>
      <c r="S19" s="322"/>
      <c r="T19" s="314"/>
      <c r="U19" s="315"/>
      <c r="V19" s="215" t="str">
        <f t="shared" si="2"/>
        <v/>
      </c>
      <c r="W19" s="216"/>
      <c r="X19" s="217" t="str">
        <f t="shared" si="0"/>
        <v/>
      </c>
      <c r="Y19" s="217"/>
      <c r="Z19" s="226" t="str">
        <f t="shared" si="3"/>
        <v/>
      </c>
      <c r="AA19" s="229"/>
      <c r="AD19" s="2" t="e">
        <f t="shared" si="4"/>
        <v>#VALUE!</v>
      </c>
      <c r="AE19" s="2" t="e">
        <f t="shared" si="5"/>
        <v>#VALUE!</v>
      </c>
      <c r="AG19" s="37" t="b">
        <v>0</v>
      </c>
      <c r="AH19" s="2" t="str">
        <f t="shared" si="6"/>
        <v>エラー</v>
      </c>
      <c r="AI19" s="2" t="str">
        <f t="shared" si="7"/>
        <v>エラー</v>
      </c>
      <c r="AK19" s="2" t="e">
        <f t="shared" si="8"/>
        <v>#DIV/0!</v>
      </c>
      <c r="AL19" s="2" t="e">
        <f t="shared" si="9"/>
        <v>#DIV/0!</v>
      </c>
      <c r="AN19" s="2">
        <f t="shared" si="10"/>
        <v>0</v>
      </c>
      <c r="AO19" s="19" t="str">
        <f t="shared" si="1"/>
        <v>FALSE</v>
      </c>
    </row>
    <row r="20" spans="2:41" s="2" customFormat="1" ht="21.95" customHeight="1" thickBot="1">
      <c r="B20" s="200" t="s">
        <v>191</v>
      </c>
      <c r="C20" s="201"/>
      <c r="D20" s="201"/>
      <c r="E20" s="201"/>
      <c r="F20" s="201"/>
      <c r="G20" s="201"/>
      <c r="H20" s="201"/>
      <c r="I20" s="201"/>
      <c r="J20" s="201"/>
      <c r="K20" s="201"/>
      <c r="L20" s="201"/>
      <c r="M20" s="201"/>
      <c r="N20" s="201"/>
      <c r="O20" s="201"/>
      <c r="P20" s="201"/>
      <c r="Q20" s="201"/>
      <c r="R20" s="201"/>
      <c r="S20" s="201"/>
      <c r="T20" s="201"/>
      <c r="U20" s="201"/>
      <c r="V20" s="202">
        <f>SUM(V8:W19)</f>
        <v>0</v>
      </c>
      <c r="W20" s="202"/>
      <c r="X20" s="202">
        <f>IF(共通条件・結果!AA7="８地域","-",SUM(X8:Y19))</f>
        <v>0</v>
      </c>
      <c r="Y20" s="202"/>
      <c r="Z20" s="202">
        <f>SUM(Z8:AA19)</f>
        <v>0</v>
      </c>
      <c r="AA20" s="203"/>
    </row>
    <row r="21" spans="2:41" s="2" customFormat="1" ht="9.9499999999999993" customHeight="1">
      <c r="AN21" s="287"/>
      <c r="AO21" s="287"/>
    </row>
    <row r="22" spans="2:41" s="2" customFormat="1" ht="21.95" customHeight="1" thickBot="1">
      <c r="E22" s="4"/>
      <c r="J22" s="4" t="s">
        <v>13</v>
      </c>
    </row>
    <row r="23" spans="2:41" s="2" customFormat="1" ht="21.95" customHeight="1">
      <c r="J23" s="248" t="s">
        <v>14</v>
      </c>
      <c r="K23" s="195"/>
      <c r="L23" s="195"/>
      <c r="M23" s="249"/>
      <c r="N23" s="302" t="s">
        <v>140</v>
      </c>
      <c r="O23" s="195"/>
      <c r="P23" s="195"/>
      <c r="Q23" s="249"/>
      <c r="R23" s="266" t="s">
        <v>141</v>
      </c>
      <c r="S23" s="178"/>
      <c r="T23" s="306" t="s">
        <v>9</v>
      </c>
      <c r="U23" s="307"/>
      <c r="V23" s="254" t="s">
        <v>145</v>
      </c>
      <c r="W23" s="255"/>
      <c r="X23" s="254" t="s">
        <v>143</v>
      </c>
      <c r="Y23" s="255"/>
      <c r="Z23" s="254" t="s">
        <v>110</v>
      </c>
      <c r="AA23" s="196"/>
      <c r="AN23" s="287" t="s">
        <v>58</v>
      </c>
      <c r="AO23" s="287"/>
    </row>
    <row r="24" spans="2:41" s="2" customFormat="1" ht="21.95" customHeight="1">
      <c r="J24" s="250"/>
      <c r="K24" s="287"/>
      <c r="L24" s="287"/>
      <c r="M24" s="251"/>
      <c r="N24" s="303"/>
      <c r="O24" s="304"/>
      <c r="P24" s="304"/>
      <c r="Q24" s="305"/>
      <c r="R24" s="269"/>
      <c r="S24" s="267"/>
      <c r="T24" s="308"/>
      <c r="U24" s="309"/>
      <c r="V24" s="256"/>
      <c r="W24" s="257"/>
      <c r="X24" s="256"/>
      <c r="Y24" s="257"/>
      <c r="Z24" s="298"/>
      <c r="AA24" s="299"/>
      <c r="AN24" s="19"/>
      <c r="AO24" s="19"/>
    </row>
    <row r="25" spans="2:41" s="2" customFormat="1" ht="21.95" customHeight="1" thickBot="1">
      <c r="J25" s="252"/>
      <c r="K25" s="297"/>
      <c r="L25" s="297"/>
      <c r="M25" s="253"/>
      <c r="N25" s="311" t="s">
        <v>8</v>
      </c>
      <c r="O25" s="312"/>
      <c r="P25" s="313" t="s">
        <v>7</v>
      </c>
      <c r="Q25" s="268"/>
      <c r="R25" s="268"/>
      <c r="S25" s="268"/>
      <c r="T25" s="310"/>
      <c r="U25" s="310"/>
      <c r="V25" s="258"/>
      <c r="W25" s="259"/>
      <c r="X25" s="258"/>
      <c r="Y25" s="259"/>
      <c r="Z25" s="300"/>
      <c r="AA25" s="301"/>
      <c r="AN25" s="45" t="s">
        <v>56</v>
      </c>
      <c r="AO25" s="2" t="s">
        <v>54</v>
      </c>
    </row>
    <row r="26" spans="2:41" s="2" customFormat="1" ht="21.95" customHeight="1">
      <c r="D26" s="56"/>
      <c r="E26" s="56"/>
      <c r="J26" s="288"/>
      <c r="K26" s="289"/>
      <c r="L26" s="289"/>
      <c r="M26" s="290"/>
      <c r="N26" s="291"/>
      <c r="O26" s="292"/>
      <c r="P26" s="292"/>
      <c r="Q26" s="293"/>
      <c r="R26" s="245"/>
      <c r="S26" s="245"/>
      <c r="T26" s="294"/>
      <c r="U26" s="294"/>
      <c r="V26" s="246" t="str">
        <f>IF(N26="","",N26*P26*R26*0.034*$V$4)</f>
        <v/>
      </c>
      <c r="W26" s="246"/>
      <c r="X26" s="246" t="str">
        <f>IF(N26="","",IF(ISERROR(N26*P26*R26*0.034*$X$4),"-",N26*P26*R26*0.034*$X$4))</f>
        <v/>
      </c>
      <c r="Y26" s="246"/>
      <c r="Z26" s="246" t="str">
        <f>IF(N26="","",N26*P26*AN26)</f>
        <v/>
      </c>
      <c r="AA26" s="247"/>
      <c r="AD26" s="37"/>
      <c r="AN26" s="2">
        <f>IF(AO26="FALSE",R26,IF(T26="風除室",1/((1/R26)+0.1),0.5*R26+0.5*(1/((1/R26)+AO26))))</f>
        <v>0</v>
      </c>
      <c r="AO26" s="19" t="str">
        <f>IF(T26="","FALSE",IF(T26="雨戸",0.1,IF(T26="ｼｬｯﾀｰ",0.1,IF(T26="障子",0.18,IF(T26="風除室",0.1)))))</f>
        <v>FALSE</v>
      </c>
    </row>
    <row r="27" spans="2:41" s="2" customFormat="1" ht="21.95" customHeight="1">
      <c r="D27" s="56"/>
      <c r="E27" s="56"/>
      <c r="J27" s="282"/>
      <c r="K27" s="283"/>
      <c r="L27" s="283"/>
      <c r="M27" s="284"/>
      <c r="N27" s="232"/>
      <c r="O27" s="285"/>
      <c r="P27" s="286"/>
      <c r="Q27" s="233"/>
      <c r="R27" s="232"/>
      <c r="S27" s="233"/>
      <c r="T27" s="295"/>
      <c r="U27" s="296"/>
      <c r="V27" s="215" t="str">
        <f>IF(N27="","",N27*P27*R27*0.034*$V$4)</f>
        <v/>
      </c>
      <c r="W27" s="216"/>
      <c r="X27" s="215" t="str">
        <f>IF(N27="","",IF(ISERROR(N27*P27*R27*0.034*$X$4),"-",N27*P27*R27*0.034*$X$4))</f>
        <v/>
      </c>
      <c r="Y27" s="216"/>
      <c r="Z27" s="215" t="str">
        <f>IF(N27="","",N27*P27*AN27)</f>
        <v/>
      </c>
      <c r="AA27" s="238"/>
      <c r="AD27" s="37"/>
      <c r="AN27" s="2">
        <f>IF(AO27="FALSE",R27,IF(T27="風除室",1/((1/R27)+0.1),0.5*R27+0.5*(1/((1/R27)+AO27))))</f>
        <v>0</v>
      </c>
      <c r="AO27" s="19" t="str">
        <f>IF(T27="","FALSE",IF(T27="雨戸",0.1,IF(T27="ｼｬｯﾀｰ",0.1,IF(T27="障子",0.18,IF(T27="風除室",0.1)))))</f>
        <v>FALSE</v>
      </c>
    </row>
    <row r="28" spans="2:41" s="2" customFormat="1" ht="21.95" customHeight="1" thickBot="1">
      <c r="D28" s="56"/>
      <c r="E28" s="56"/>
      <c r="J28" s="274"/>
      <c r="K28" s="275"/>
      <c r="L28" s="275"/>
      <c r="M28" s="276"/>
      <c r="N28" s="277"/>
      <c r="O28" s="278"/>
      <c r="P28" s="278"/>
      <c r="Q28" s="279"/>
      <c r="R28" s="280"/>
      <c r="S28" s="280"/>
      <c r="T28" s="281"/>
      <c r="U28" s="281"/>
      <c r="V28" s="270" t="str">
        <f>IF(N28="","",N28*P28*R28*0.034*$V$4)</f>
        <v/>
      </c>
      <c r="W28" s="270"/>
      <c r="X28" s="270" t="str">
        <f>IF(N28="","",IF(ISERROR(N28*P28*R28*0.034*$X$4),"-",N28*P28*R28*0.034*$X$4))</f>
        <v/>
      </c>
      <c r="Y28" s="270"/>
      <c r="Z28" s="270" t="str">
        <f>IF(N28="","",N28*P28*AN28)</f>
        <v/>
      </c>
      <c r="AA28" s="271"/>
      <c r="AD28" s="37"/>
      <c r="AN28" s="2">
        <f>IF(AO28="FALSE",R28,IF(T28="風除室",1/((1/R28)+0.1),0.5*R28+0.5*(1/((1/R28)+AO28))))</f>
        <v>0</v>
      </c>
      <c r="AO28" s="19" t="str">
        <f>IF(T28="","FALSE",IF(T28="雨戸",0.1,IF(T28="ｼｬｯﾀｰ",0.1,IF(T28="障子",0.18,IF(T28="風除室",0.1)))))</f>
        <v>FALSE</v>
      </c>
    </row>
    <row r="29" spans="2:41" s="2" customFormat="1" ht="21.95" customHeight="1" thickBot="1">
      <c r="J29" s="200" t="s">
        <v>192</v>
      </c>
      <c r="K29" s="201"/>
      <c r="L29" s="201"/>
      <c r="M29" s="201"/>
      <c r="N29" s="201"/>
      <c r="O29" s="201"/>
      <c r="P29" s="201"/>
      <c r="Q29" s="201"/>
      <c r="R29" s="201"/>
      <c r="S29" s="201"/>
      <c r="T29" s="201"/>
      <c r="U29" s="348"/>
      <c r="V29" s="202">
        <f>SUM(V26:W28)</f>
        <v>0</v>
      </c>
      <c r="W29" s="202"/>
      <c r="X29" s="202">
        <f>SUM(X26:Y28)</f>
        <v>0</v>
      </c>
      <c r="Y29" s="202"/>
      <c r="Z29" s="202">
        <f>SUM(Z26:AA28)</f>
        <v>0</v>
      </c>
      <c r="AA29" s="203"/>
      <c r="AO29" s="19"/>
    </row>
    <row r="30" spans="2:41" s="2" customFormat="1" ht="9.9499999999999993" customHeight="1">
      <c r="J30" s="23"/>
      <c r="K30" s="23"/>
      <c r="L30" s="23"/>
      <c r="M30" s="23"/>
      <c r="N30" s="23"/>
      <c r="O30" s="23"/>
      <c r="P30" s="23"/>
      <c r="Q30" s="23"/>
      <c r="R30" s="23"/>
      <c r="S30" s="23"/>
      <c r="T30" s="23"/>
      <c r="U30" s="23"/>
      <c r="V30" s="46"/>
      <c r="W30" s="46"/>
      <c r="X30" s="46"/>
      <c r="Y30" s="46"/>
      <c r="Z30" s="46"/>
      <c r="AA30" s="46"/>
      <c r="AO30" s="19"/>
    </row>
    <row r="31" spans="2:41" s="2" customFormat="1" ht="21.95" customHeight="1" thickBot="1">
      <c r="J31" s="4" t="s">
        <v>15</v>
      </c>
      <c r="K31" s="4"/>
      <c r="L31" s="4"/>
      <c r="AO31" s="19"/>
    </row>
    <row r="32" spans="2:41" s="2" customFormat="1" ht="21.95" customHeight="1">
      <c r="J32" s="248" t="s">
        <v>0</v>
      </c>
      <c r="K32" s="249"/>
      <c r="L32" s="254" t="s">
        <v>146</v>
      </c>
      <c r="M32" s="255"/>
      <c r="N32" s="254" t="s">
        <v>147</v>
      </c>
      <c r="O32" s="255"/>
      <c r="P32" s="260" t="s">
        <v>148</v>
      </c>
      <c r="Q32" s="261"/>
      <c r="R32" s="266" t="s">
        <v>141</v>
      </c>
      <c r="S32" s="178"/>
      <c r="T32" s="266" t="s">
        <v>145</v>
      </c>
      <c r="U32" s="178"/>
      <c r="V32" s="266" t="s">
        <v>143</v>
      </c>
      <c r="W32" s="178"/>
      <c r="X32" s="266" t="s">
        <v>110</v>
      </c>
      <c r="Y32" s="179"/>
      <c r="AO32" s="19"/>
    </row>
    <row r="33" spans="2:41" s="2" customFormat="1" ht="21.95" customHeight="1">
      <c r="J33" s="250"/>
      <c r="K33" s="251"/>
      <c r="L33" s="256"/>
      <c r="M33" s="257"/>
      <c r="N33" s="256"/>
      <c r="O33" s="257"/>
      <c r="P33" s="262"/>
      <c r="Q33" s="263"/>
      <c r="R33" s="267"/>
      <c r="S33" s="267"/>
      <c r="T33" s="269"/>
      <c r="U33" s="267"/>
      <c r="V33" s="269"/>
      <c r="W33" s="267"/>
      <c r="X33" s="267"/>
      <c r="Y33" s="272"/>
      <c r="AO33" s="19"/>
    </row>
    <row r="34" spans="2:41" s="2" customFormat="1" ht="21.95" customHeight="1" thickBot="1">
      <c r="J34" s="252"/>
      <c r="K34" s="253"/>
      <c r="L34" s="258"/>
      <c r="M34" s="259"/>
      <c r="N34" s="258"/>
      <c r="O34" s="259"/>
      <c r="P34" s="264"/>
      <c r="Q34" s="265"/>
      <c r="R34" s="268"/>
      <c r="S34" s="268"/>
      <c r="T34" s="268"/>
      <c r="U34" s="268"/>
      <c r="V34" s="268"/>
      <c r="W34" s="268"/>
      <c r="X34" s="268"/>
      <c r="Y34" s="273"/>
    </row>
    <row r="35" spans="2:41" s="2" customFormat="1" ht="21.95" customHeight="1">
      <c r="J35" s="239"/>
      <c r="K35" s="240"/>
      <c r="L35" s="241"/>
      <c r="M35" s="242"/>
      <c r="N35" s="241"/>
      <c r="O35" s="242"/>
      <c r="P35" s="243" t="str">
        <f>IF(L35="","",L35-N35)</f>
        <v/>
      </c>
      <c r="Q35" s="244"/>
      <c r="R35" s="245"/>
      <c r="S35" s="245"/>
      <c r="T35" s="217" t="str">
        <f>IF(P35="","",P35*R35*0.034*$V$4)</f>
        <v/>
      </c>
      <c r="U35" s="217"/>
      <c r="V35" s="215" t="str">
        <f>IF(P35="","",IF(ISERROR(P35*R35*0.034*$X$4),"-",P35*R35*0.034*$X$4))</f>
        <v/>
      </c>
      <c r="W35" s="216"/>
      <c r="X35" s="246" t="str">
        <f>IF(R35="","",R35*P35)</f>
        <v/>
      </c>
      <c r="Y35" s="247"/>
      <c r="AD35" s="37"/>
      <c r="AE35" s="37"/>
      <c r="AF35" s="37"/>
    </row>
    <row r="36" spans="2:41" s="2" customFormat="1" ht="21.95" customHeight="1">
      <c r="J36" s="230"/>
      <c r="K36" s="231"/>
      <c r="L36" s="232"/>
      <c r="M36" s="233"/>
      <c r="N36" s="232"/>
      <c r="O36" s="233"/>
      <c r="P36" s="234" t="str">
        <f t="shared" ref="P36:P37" si="11">IF(L36="","",L36-N36)</f>
        <v/>
      </c>
      <c r="Q36" s="235"/>
      <c r="R36" s="232"/>
      <c r="S36" s="233"/>
      <c r="T36" s="215" t="str">
        <f t="shared" ref="T36:T39" si="12">IF(P36="","",P36*R36*0.034*$V$4)</f>
        <v/>
      </c>
      <c r="U36" s="216"/>
      <c r="V36" s="215" t="str">
        <f t="shared" ref="V36:V39" si="13">IF(P36="","",IF(ISERROR(P36*R36*0.034*$X$4),"-",P36*R36*0.034*$X$4))</f>
        <v/>
      </c>
      <c r="W36" s="216"/>
      <c r="X36" s="215" t="str">
        <f t="shared" ref="X36:X39" si="14">IF(R36="","",R36*P36)</f>
        <v/>
      </c>
      <c r="Y36" s="238"/>
      <c r="AD36" s="37"/>
      <c r="AE36" s="37"/>
      <c r="AF36" s="37"/>
    </row>
    <row r="37" spans="2:41" s="2" customFormat="1" ht="21.95" customHeight="1">
      <c r="J37" s="230"/>
      <c r="K37" s="231"/>
      <c r="L37" s="232"/>
      <c r="M37" s="233"/>
      <c r="N37" s="232"/>
      <c r="O37" s="233"/>
      <c r="P37" s="234" t="str">
        <f t="shared" si="11"/>
        <v/>
      </c>
      <c r="Q37" s="235"/>
      <c r="R37" s="232"/>
      <c r="S37" s="233"/>
      <c r="T37" s="215" t="str">
        <f t="shared" si="12"/>
        <v/>
      </c>
      <c r="U37" s="216"/>
      <c r="V37" s="215" t="str">
        <f t="shared" si="13"/>
        <v/>
      </c>
      <c r="W37" s="216"/>
      <c r="X37" s="215" t="str">
        <f t="shared" si="14"/>
        <v/>
      </c>
      <c r="Y37" s="238"/>
      <c r="AD37" s="37"/>
      <c r="AE37" s="37"/>
      <c r="AF37" s="37"/>
    </row>
    <row r="38" spans="2:41" s="2" customFormat="1" ht="21.95" customHeight="1">
      <c r="J38" s="230"/>
      <c r="K38" s="231"/>
      <c r="L38" s="232"/>
      <c r="M38" s="233"/>
      <c r="N38" s="232"/>
      <c r="O38" s="233"/>
      <c r="P38" s="234" t="str">
        <f>IF(L38="","",L38-N38)</f>
        <v/>
      </c>
      <c r="Q38" s="235"/>
      <c r="R38" s="236"/>
      <c r="S38" s="236"/>
      <c r="T38" s="217" t="str">
        <f t="shared" si="12"/>
        <v/>
      </c>
      <c r="U38" s="217"/>
      <c r="V38" s="215" t="str">
        <f t="shared" si="13"/>
        <v/>
      </c>
      <c r="W38" s="216"/>
      <c r="X38" s="217" t="str">
        <f t="shared" si="14"/>
        <v/>
      </c>
      <c r="Y38" s="218"/>
      <c r="AD38" s="37"/>
      <c r="AE38" s="37"/>
      <c r="AF38" s="37"/>
    </row>
    <row r="39" spans="2:41" s="2" customFormat="1" ht="21.95" customHeight="1" thickBot="1">
      <c r="J39" s="219"/>
      <c r="K39" s="220"/>
      <c r="L39" s="221"/>
      <c r="M39" s="222"/>
      <c r="N39" s="221"/>
      <c r="O39" s="222"/>
      <c r="P39" s="223" t="str">
        <f>IF(L39="","",L39-N39)</f>
        <v/>
      </c>
      <c r="Q39" s="224"/>
      <c r="R39" s="225"/>
      <c r="S39" s="225"/>
      <c r="T39" s="226" t="str">
        <f t="shared" si="12"/>
        <v/>
      </c>
      <c r="U39" s="226"/>
      <c r="V39" s="227" t="str">
        <f t="shared" si="13"/>
        <v/>
      </c>
      <c r="W39" s="228"/>
      <c r="X39" s="226" t="str">
        <f t="shared" si="14"/>
        <v/>
      </c>
      <c r="Y39" s="229"/>
      <c r="AD39" s="37"/>
      <c r="AE39" s="37"/>
      <c r="AF39" s="37"/>
    </row>
    <row r="40" spans="2:41" s="2" customFormat="1" ht="21.95" customHeight="1" thickBot="1">
      <c r="J40" s="200" t="s">
        <v>193</v>
      </c>
      <c r="K40" s="201"/>
      <c r="L40" s="201"/>
      <c r="M40" s="201"/>
      <c r="N40" s="201"/>
      <c r="O40" s="201"/>
      <c r="P40" s="201"/>
      <c r="Q40" s="201"/>
      <c r="R40" s="201"/>
      <c r="S40" s="201"/>
      <c r="T40" s="202">
        <f>SUM(T35:U39)</f>
        <v>0</v>
      </c>
      <c r="U40" s="202"/>
      <c r="V40" s="202">
        <f>IF(共通条件・結果!AA7="８地域","-",SUM(V35:W39))</f>
        <v>0</v>
      </c>
      <c r="W40" s="202"/>
      <c r="X40" s="202">
        <f>SUM(X35:Y39)</f>
        <v>0</v>
      </c>
      <c r="Y40" s="203"/>
    </row>
    <row r="41" spans="2:41" s="2" customFormat="1" ht="12">
      <c r="J41" s="47"/>
    </row>
    <row r="42" spans="2:41" s="2" customFormat="1" ht="21.95" customHeight="1" thickBot="1">
      <c r="B42" s="4" t="s">
        <v>194</v>
      </c>
    </row>
    <row r="43" spans="2:41" s="2" customFormat="1" ht="21.95" customHeight="1">
      <c r="B43" s="204" t="s">
        <v>183</v>
      </c>
      <c r="C43" s="205"/>
      <c r="D43" s="136" t="s">
        <v>37</v>
      </c>
      <c r="E43" s="137"/>
      <c r="F43" s="137"/>
      <c r="G43" s="137"/>
      <c r="H43" s="137"/>
      <c r="I43" s="137"/>
      <c r="J43" s="138"/>
      <c r="K43" s="9"/>
      <c r="L43" s="210">
        <f>Q43+U43+Y43</f>
        <v>0</v>
      </c>
      <c r="M43" s="210"/>
      <c r="N43" s="210"/>
      <c r="O43" s="9" t="s">
        <v>22</v>
      </c>
      <c r="P43" s="10" t="s">
        <v>21</v>
      </c>
      <c r="Q43" s="211">
        <f>D8*F8+D9*F9+D10*F10+D11*F11+D12*F12+D13*F13+D14*F14+D15*F15+D16*F16+D17*F17+D18*F18+D19*F19</f>
        <v>0</v>
      </c>
      <c r="R43" s="211"/>
      <c r="S43" s="48" t="s">
        <v>23</v>
      </c>
      <c r="T43" s="48" t="s">
        <v>20</v>
      </c>
      <c r="U43" s="212">
        <f>N26*P26+N27*P27+N28*P28</f>
        <v>0</v>
      </c>
      <c r="V43" s="212"/>
      <c r="W43" s="48" t="s">
        <v>23</v>
      </c>
      <c r="X43" s="48" t="s">
        <v>1</v>
      </c>
      <c r="Y43" s="214">
        <f>SUM(P35:Q39)</f>
        <v>0</v>
      </c>
      <c r="Z43" s="214"/>
      <c r="AA43" s="49" t="s">
        <v>17</v>
      </c>
    </row>
    <row r="44" spans="2:41" s="2" customFormat="1" ht="21.95" customHeight="1">
      <c r="B44" s="206"/>
      <c r="C44" s="207"/>
      <c r="D44" s="141" t="s">
        <v>47</v>
      </c>
      <c r="E44" s="142"/>
      <c r="F44" s="142"/>
      <c r="G44" s="142"/>
      <c r="H44" s="142"/>
      <c r="I44" s="142"/>
      <c r="J44" s="143"/>
      <c r="K44" s="8"/>
      <c r="L44" s="8"/>
      <c r="M44" s="8"/>
      <c r="N44" s="8"/>
      <c r="O44" s="8"/>
      <c r="P44" s="8"/>
      <c r="Q44" s="8"/>
      <c r="R44" s="8"/>
      <c r="S44" s="8"/>
      <c r="T44" s="8"/>
      <c r="U44" s="8"/>
      <c r="V44" s="8"/>
      <c r="W44" s="197">
        <f>V20+V29+T40</f>
        <v>0</v>
      </c>
      <c r="X44" s="197"/>
      <c r="Y44" s="197"/>
      <c r="Z44" s="198" t="s">
        <v>113</v>
      </c>
      <c r="AA44" s="199"/>
    </row>
    <row r="45" spans="2:41" s="2" customFormat="1" ht="21.95" customHeight="1">
      <c r="B45" s="206"/>
      <c r="C45" s="207"/>
      <c r="D45" s="141" t="s">
        <v>48</v>
      </c>
      <c r="E45" s="142"/>
      <c r="F45" s="142"/>
      <c r="G45" s="142"/>
      <c r="H45" s="142"/>
      <c r="I45" s="142"/>
      <c r="J45" s="143"/>
      <c r="K45" s="8"/>
      <c r="L45" s="8"/>
      <c r="M45" s="8"/>
      <c r="N45" s="8"/>
      <c r="O45" s="8"/>
      <c r="P45" s="8"/>
      <c r="Q45" s="8"/>
      <c r="R45" s="8"/>
      <c r="S45" s="8"/>
      <c r="T45" s="8"/>
      <c r="U45" s="8"/>
      <c r="V45" s="8"/>
      <c r="W45" s="197">
        <f>IF(共通条件・結果!AA7="８地域","-",$X$20+$X$29+$V$40)</f>
        <v>0</v>
      </c>
      <c r="X45" s="197"/>
      <c r="Y45" s="197"/>
      <c r="Z45" s="198" t="s">
        <v>113</v>
      </c>
      <c r="AA45" s="199"/>
    </row>
    <row r="46" spans="2:41" s="2" customFormat="1" ht="21.95" customHeight="1" thickBot="1">
      <c r="B46" s="208"/>
      <c r="C46" s="209"/>
      <c r="D46" s="180" t="s">
        <v>18</v>
      </c>
      <c r="E46" s="181"/>
      <c r="F46" s="181"/>
      <c r="G46" s="181"/>
      <c r="H46" s="181"/>
      <c r="I46" s="181"/>
      <c r="J46" s="182"/>
      <c r="K46" s="7"/>
      <c r="L46" s="7"/>
      <c r="M46" s="7"/>
      <c r="N46" s="7"/>
      <c r="O46" s="7"/>
      <c r="P46" s="7"/>
      <c r="Q46" s="7"/>
      <c r="R46" s="7"/>
      <c r="S46" s="7"/>
      <c r="T46" s="7"/>
      <c r="U46" s="7"/>
      <c r="V46" s="7"/>
      <c r="W46" s="237">
        <f>Z20+Z29+X40</f>
        <v>0</v>
      </c>
      <c r="X46" s="237"/>
      <c r="Y46" s="237"/>
      <c r="Z46" s="44" t="s">
        <v>19</v>
      </c>
      <c r="AA46" s="50"/>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xs+ywefIQLafJ0t5NkyXsCNLt7qoG/7D9yeNgN1G2yP3uDv+UaVcp+PC3C8RcBBXiXD0hXpoC8jyWUDlKlNUiQ==" saltValue="UH6KDh/LS9gr6V6XsTDFkQ==" spinCount="100000" sheet="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B8:U19">
    <cfRule type="expression" dxfId="48" priority="155" stopIfTrue="1">
      <formula>$AE$2&lt;&gt;2</formula>
    </cfRule>
  </conditionalFormatting>
  <conditionalFormatting sqref="J35:O39">
    <cfRule type="expression" dxfId="47" priority="81" stopIfTrue="1">
      <formula>$AE$2&lt;&gt;2</formula>
    </cfRule>
  </conditionalFormatting>
  <conditionalFormatting sqref="J26:U28">
    <cfRule type="expression" dxfId="46" priority="119" stopIfTrue="1">
      <formula>$AE$2&lt;&gt;2</formula>
    </cfRule>
  </conditionalFormatting>
  <conditionalFormatting sqref="L43:N43">
    <cfRule type="expression" dxfId="45" priority="7">
      <formula>$AE$2&lt;&gt;2</formula>
    </cfRule>
  </conditionalFormatting>
  <conditionalFormatting sqref="P35:Q39">
    <cfRule type="expression" dxfId="44" priority="14">
      <formula>$AE$2&lt;&gt;2</formula>
    </cfRule>
  </conditionalFormatting>
  <conditionalFormatting sqref="Q43:R43">
    <cfRule type="expression" dxfId="43" priority="6">
      <formula>$AE$2&lt;&gt;2</formula>
    </cfRule>
  </conditionalFormatting>
  <conditionalFormatting sqref="R35:S39">
    <cfRule type="expression" dxfId="42" priority="79" stopIfTrue="1">
      <formula>$AE$2&lt;&gt;2</formula>
    </cfRule>
  </conditionalFormatting>
  <conditionalFormatting sqref="T35:Y40">
    <cfRule type="expression" dxfId="41" priority="8">
      <formula>$AE$2&lt;&gt;2</formula>
    </cfRule>
  </conditionalFormatting>
  <conditionalFormatting sqref="U43:V43">
    <cfRule type="expression" dxfId="40" priority="5">
      <formula>$AE$2&lt;&gt;2</formula>
    </cfRule>
  </conditionalFormatting>
  <conditionalFormatting sqref="V8:AA19">
    <cfRule type="expression" dxfId="39" priority="43">
      <formula>$AE$2&lt;&gt;2</formula>
    </cfRule>
  </conditionalFormatting>
  <conditionalFormatting sqref="V26:AA29">
    <cfRule type="expression" dxfId="38" priority="31">
      <formula>$AE$2&lt;&gt;2</formula>
    </cfRule>
  </conditionalFormatting>
  <conditionalFormatting sqref="W44:Y46">
    <cfRule type="expression" dxfId="37" priority="1">
      <formula>$AE$2&lt;&gt;2</formula>
    </cfRule>
  </conditionalFormatting>
  <conditionalFormatting sqref="Y43:Z43">
    <cfRule type="expression" dxfId="36" priority="4">
      <formula>$AE$2&lt;&gt;2</formula>
    </cfRule>
  </conditionalFormatting>
  <dataValidations count="1">
    <dataValidation type="list" allowBlank="1" showInputMessage="1" showErrorMessage="1" sqref="M14:M19 L8:L19 M8:M11 T26:T28 U26 U28" xr:uid="{00000000-0002-0000-07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81"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22882"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22883"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22884"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22885"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22886"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22887"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22888"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22889"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22890"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22891"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22892"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AS108"/>
  <sheetViews>
    <sheetView view="pageBreakPreview" topLeftCell="A19" zoomScale="85" zoomScaleNormal="100" zoomScaleSheetLayoutView="85" workbookViewId="0">
      <selection activeCell="B19" sqref="B19:C19"/>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361" t="s">
        <v>185</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E2" s="101">
        <f>共通条件・結果!AE2</f>
        <v>1</v>
      </c>
    </row>
    <row r="3" spans="2:41" s="2" customFormat="1" ht="24.95" customHeight="1" thickBot="1">
      <c r="AE3" s="2" t="s">
        <v>271</v>
      </c>
    </row>
    <row r="4" spans="2:41" s="2" customFormat="1" ht="21.95" customHeight="1" thickBot="1">
      <c r="B4" s="4" t="s">
        <v>5</v>
      </c>
      <c r="R4" s="362" t="s">
        <v>33</v>
      </c>
      <c r="S4" s="363"/>
      <c r="T4" s="363"/>
      <c r="U4" s="364"/>
      <c r="V4" s="365" t="b">
        <f>IF(共通条件・結果!AA7="８地域","0.411",IF(共通条件・結果!AA7="７地域",0.406,IF(共通条件・結果!AA7="６地域",0.427,IF(共通条件・結果!AA7="５地域",0.442,IF(共通条件・結果!AA7="４地域",0.401,IF(共通条件・結果!AA7="３地域",0.447,IF(共通条件・結果!AA7="２地域",0.428,IF(共通条件・結果!AA7="１地域",0.411))))))))</f>
        <v>0</v>
      </c>
      <c r="W4" s="366"/>
      <c r="X4" s="365" t="b">
        <f>IF(共通条件・結果!AA7="８地域","-",IF(共通条件・結果!AA7="７地域",0.284,IF(共通条件・結果!AA7="６地域",0.317,IF(共通条件・結果!AA7="５地域",0.297,IF(共通条件・結果!AA7="４地域",0.326,IF(共通条件・結果!AA7="３地域",0.351,IF(共通条件・結果!AA7="２地域",0.341,IF(共通条件・結果!AA7="１地域",0.325))))))))</f>
        <v>0</v>
      </c>
      <c r="Y4" s="366"/>
    </row>
    <row r="5" spans="2:41" s="2" customFormat="1" ht="21.95" customHeight="1">
      <c r="B5" s="367" t="s">
        <v>6</v>
      </c>
      <c r="C5" s="178"/>
      <c r="D5" s="178" t="s">
        <v>140</v>
      </c>
      <c r="E5" s="178"/>
      <c r="F5" s="178"/>
      <c r="G5" s="178"/>
      <c r="H5" s="266" t="s">
        <v>141</v>
      </c>
      <c r="I5" s="178"/>
      <c r="J5" s="266" t="s">
        <v>65</v>
      </c>
      <c r="K5" s="178"/>
      <c r="L5" s="266" t="s">
        <v>9</v>
      </c>
      <c r="M5" s="178"/>
      <c r="N5" s="370" t="s">
        <v>46</v>
      </c>
      <c r="O5" s="214"/>
      <c r="P5" s="214"/>
      <c r="Q5" s="214"/>
      <c r="R5" s="214"/>
      <c r="S5" s="214"/>
      <c r="T5" s="214"/>
      <c r="U5" s="214"/>
      <c r="V5" s="266" t="s">
        <v>142</v>
      </c>
      <c r="W5" s="178"/>
      <c r="X5" s="266" t="s">
        <v>143</v>
      </c>
      <c r="Y5" s="178"/>
      <c r="Z5" s="266" t="s">
        <v>110</v>
      </c>
      <c r="AA5" s="179"/>
    </row>
    <row r="6" spans="2:41" s="2" customFormat="1" ht="21.95" customHeight="1">
      <c r="B6" s="368"/>
      <c r="C6" s="267"/>
      <c r="D6" s="349" t="s">
        <v>8</v>
      </c>
      <c r="E6" s="350"/>
      <c r="F6" s="353" t="s">
        <v>7</v>
      </c>
      <c r="G6" s="354"/>
      <c r="H6" s="267"/>
      <c r="I6" s="267"/>
      <c r="J6" s="269"/>
      <c r="K6" s="267"/>
      <c r="L6" s="269"/>
      <c r="M6" s="267"/>
      <c r="N6" s="355" t="s">
        <v>45</v>
      </c>
      <c r="O6" s="356"/>
      <c r="P6" s="358" t="s">
        <v>144</v>
      </c>
      <c r="Q6" s="359"/>
      <c r="R6" s="359"/>
      <c r="S6" s="359"/>
      <c r="T6" s="359"/>
      <c r="U6" s="360"/>
      <c r="V6" s="269"/>
      <c r="W6" s="267"/>
      <c r="X6" s="269"/>
      <c r="Y6" s="267"/>
      <c r="Z6" s="267"/>
      <c r="AA6" s="272"/>
      <c r="AD6" s="287" t="s">
        <v>49</v>
      </c>
      <c r="AE6" s="287"/>
      <c r="AF6" s="19"/>
      <c r="AG6" s="19"/>
      <c r="AH6" s="287" t="s">
        <v>12</v>
      </c>
      <c r="AI6" s="287"/>
      <c r="AJ6" s="19"/>
      <c r="AK6" s="287" t="s">
        <v>50</v>
      </c>
      <c r="AL6" s="287"/>
      <c r="AN6" s="287" t="s">
        <v>58</v>
      </c>
      <c r="AO6" s="287"/>
    </row>
    <row r="7" spans="2:41" s="2" customFormat="1" ht="21.95" customHeight="1" thickBot="1">
      <c r="B7" s="369"/>
      <c r="C7" s="268"/>
      <c r="D7" s="351"/>
      <c r="E7" s="352"/>
      <c r="F7" s="297"/>
      <c r="G7" s="253"/>
      <c r="H7" s="268"/>
      <c r="I7" s="268"/>
      <c r="J7" s="268"/>
      <c r="K7" s="268"/>
      <c r="L7" s="268"/>
      <c r="M7" s="268"/>
      <c r="N7" s="258"/>
      <c r="O7" s="357"/>
      <c r="P7" s="253" t="s">
        <v>10</v>
      </c>
      <c r="Q7" s="300"/>
      <c r="R7" s="346" t="s">
        <v>11</v>
      </c>
      <c r="S7" s="347"/>
      <c r="T7" s="253" t="s">
        <v>3</v>
      </c>
      <c r="U7" s="300"/>
      <c r="V7" s="268"/>
      <c r="W7" s="268"/>
      <c r="X7" s="268"/>
      <c r="Y7" s="268"/>
      <c r="Z7" s="268"/>
      <c r="AA7" s="273"/>
      <c r="AD7" s="19" t="s">
        <v>4</v>
      </c>
      <c r="AE7" s="19" t="s">
        <v>16</v>
      </c>
      <c r="AF7" s="19"/>
      <c r="AG7" s="19"/>
      <c r="AH7" s="19" t="s">
        <v>4</v>
      </c>
      <c r="AI7" s="19" t="s">
        <v>16</v>
      </c>
      <c r="AJ7" s="19"/>
      <c r="AK7" s="19" t="s">
        <v>4</v>
      </c>
      <c r="AL7" s="19" t="s">
        <v>16</v>
      </c>
      <c r="AN7" s="45" t="s">
        <v>56</v>
      </c>
      <c r="AO7" s="2" t="s">
        <v>54</v>
      </c>
    </row>
    <row r="8" spans="2:41" s="2" customFormat="1" ht="21.95" customHeight="1">
      <c r="B8" s="239"/>
      <c r="C8" s="345"/>
      <c r="D8" s="291"/>
      <c r="E8" s="292"/>
      <c r="F8" s="292"/>
      <c r="G8" s="293"/>
      <c r="H8" s="245"/>
      <c r="I8" s="245"/>
      <c r="J8" s="245"/>
      <c r="K8" s="245"/>
      <c r="L8" s="317"/>
      <c r="M8" s="317"/>
      <c r="N8" s="337"/>
      <c r="O8" s="338"/>
      <c r="P8" s="339"/>
      <c r="Q8" s="340"/>
      <c r="R8" s="341"/>
      <c r="S8" s="342"/>
      <c r="T8" s="343"/>
      <c r="U8" s="339"/>
      <c r="V8" s="344" t="str">
        <f>IF(D8="","",AD8)</f>
        <v/>
      </c>
      <c r="W8" s="344"/>
      <c r="X8" s="344" t="str">
        <f t="shared" ref="X8:X19" si="0">IF(D8="","",IF(ISERROR(AE8),"-",AE8))</f>
        <v/>
      </c>
      <c r="Y8" s="344"/>
      <c r="Z8" s="344" t="str">
        <f>IF(D8="","",D8*F8*AN8)</f>
        <v/>
      </c>
      <c r="AA8" s="371"/>
      <c r="AD8" s="2" t="e">
        <f>D8*F8*J8*$V$4*AH8</f>
        <v>#VALUE!</v>
      </c>
      <c r="AE8" s="2" t="e">
        <f>D8*F8*J8*$X$4*AI8</f>
        <v>#VALUE!</v>
      </c>
      <c r="AG8" s="37" t="b">
        <v>0</v>
      </c>
      <c r="AH8" s="2" t="str">
        <f>IF(AG8=TRUE,"0.93",IF(ISERROR(AK8),"エラー",IF(AK8&gt;0.93,"0.93",AK8)))</f>
        <v>エラー</v>
      </c>
      <c r="AI8" s="2" t="str">
        <f>IF(AG8=TRUE,"0.51",IF(ISERROR(AL8),"エラー",IF(AL8&gt;0.72,"0.72",AL8)))</f>
        <v>エラー</v>
      </c>
      <c r="AK8" s="2" t="e">
        <f>0.01*(16+24*(2*R8+T8)/P8)</f>
        <v>#DIV/0!</v>
      </c>
      <c r="AL8" s="2" t="e">
        <f>0.01*(10+15*(2*R8+T8)/P8)</f>
        <v>#DIV/0!</v>
      </c>
      <c r="AN8" s="2">
        <f>IF(AO8="FALSE",H8,IF(L8="風除室",1/((1/H8)+0.1),0.5*H8+0.5*(1/((1/H8)+AO8))))</f>
        <v>0</v>
      </c>
      <c r="AO8" s="19" t="str">
        <f t="shared" ref="AO8:AO19" si="1">IF(L8="","FALSE",IF(L8="雨戸",0.1,IF(L8="ｼｬｯﾀｰ",0.1,IF(L8="障子",0.18,IF(L8="風除室",0.1)))))</f>
        <v>FALSE</v>
      </c>
    </row>
    <row r="9" spans="2:41" s="2" customFormat="1" ht="21.95" customHeight="1">
      <c r="B9" s="230"/>
      <c r="C9" s="331"/>
      <c r="D9" s="332"/>
      <c r="E9" s="333"/>
      <c r="F9" s="333"/>
      <c r="G9" s="334"/>
      <c r="H9" s="236"/>
      <c r="I9" s="236"/>
      <c r="J9" s="236"/>
      <c r="K9" s="236"/>
      <c r="L9" s="281"/>
      <c r="M9" s="281"/>
      <c r="N9" s="323"/>
      <c r="O9" s="324"/>
      <c r="P9" s="325"/>
      <c r="Q9" s="326"/>
      <c r="R9" s="327"/>
      <c r="S9" s="328"/>
      <c r="T9" s="329"/>
      <c r="U9" s="325"/>
      <c r="V9" s="217" t="str">
        <f t="shared" ref="V9:V19" si="2">IF(D9="","",AD9)</f>
        <v/>
      </c>
      <c r="W9" s="217"/>
      <c r="X9" s="217" t="str">
        <f t="shared" si="0"/>
        <v/>
      </c>
      <c r="Y9" s="217"/>
      <c r="Z9" s="217" t="str">
        <f t="shared" ref="Z9:Z19" si="3">IF(D9="","",D9*F9*AN9)</f>
        <v/>
      </c>
      <c r="AA9" s="218"/>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 t="shared" ref="AK9:AK19" si="8">0.01*(16+24*(2*R9+T9)/P9)</f>
        <v>#DIV/0!</v>
      </c>
      <c r="AL9" s="2" t="e">
        <f t="shared" ref="AL9:AL19" si="9">0.01*(10+15*(2*R9+T9)/P9)</f>
        <v>#DIV/0!</v>
      </c>
      <c r="AN9" s="2">
        <f t="shared" ref="AN9:AN19" si="10">IF(AO9="FALSE",H9,IF(L9="風除室",1/((1/H9)+0.1),0.5*H9+0.5*(1/((1/H9)+AO9))))</f>
        <v>0</v>
      </c>
      <c r="AO9" s="19" t="str">
        <f t="shared" si="1"/>
        <v>FALSE</v>
      </c>
    </row>
    <row r="10" spans="2:41" s="2" customFormat="1" ht="21.95" customHeight="1">
      <c r="B10" s="230"/>
      <c r="C10" s="331"/>
      <c r="D10" s="332"/>
      <c r="E10" s="333"/>
      <c r="F10" s="333"/>
      <c r="G10" s="334"/>
      <c r="H10" s="236"/>
      <c r="I10" s="236"/>
      <c r="J10" s="236"/>
      <c r="K10" s="236"/>
      <c r="L10" s="281"/>
      <c r="M10" s="281"/>
      <c r="N10" s="323"/>
      <c r="O10" s="324"/>
      <c r="P10" s="326"/>
      <c r="Q10" s="335"/>
      <c r="R10" s="330"/>
      <c r="S10" s="335"/>
      <c r="T10" s="330"/>
      <c r="U10" s="329"/>
      <c r="V10" s="217" t="str">
        <f t="shared" si="2"/>
        <v/>
      </c>
      <c r="W10" s="217"/>
      <c r="X10" s="217" t="str">
        <f t="shared" si="0"/>
        <v/>
      </c>
      <c r="Y10" s="217"/>
      <c r="Z10" s="217" t="str">
        <f t="shared" si="3"/>
        <v/>
      </c>
      <c r="AA10" s="218"/>
      <c r="AD10" s="2" t="e">
        <f t="shared" si="4"/>
        <v>#VALUE!</v>
      </c>
      <c r="AE10" s="2" t="e">
        <f t="shared" si="5"/>
        <v>#VALUE!</v>
      </c>
      <c r="AG10" s="37" t="b">
        <v>0</v>
      </c>
      <c r="AH10" s="2" t="str">
        <f t="shared" si="6"/>
        <v>エラー</v>
      </c>
      <c r="AI10" s="2" t="str">
        <f t="shared" si="7"/>
        <v>エラー</v>
      </c>
      <c r="AK10" s="2" t="e">
        <f t="shared" si="8"/>
        <v>#DIV/0!</v>
      </c>
      <c r="AL10" s="2" t="e">
        <f t="shared" si="9"/>
        <v>#DIV/0!</v>
      </c>
      <c r="AN10" s="2">
        <f t="shared" si="10"/>
        <v>0</v>
      </c>
      <c r="AO10" s="19" t="str">
        <f t="shared" si="1"/>
        <v>FALSE</v>
      </c>
    </row>
    <row r="11" spans="2:41" s="2" customFormat="1" ht="21.95" customHeight="1">
      <c r="B11" s="230"/>
      <c r="C11" s="331"/>
      <c r="D11" s="332"/>
      <c r="E11" s="333"/>
      <c r="F11" s="333"/>
      <c r="G11" s="334"/>
      <c r="H11" s="236"/>
      <c r="I11" s="236"/>
      <c r="J11" s="236"/>
      <c r="K11" s="236"/>
      <c r="L11" s="281"/>
      <c r="M11" s="281"/>
      <c r="N11" s="323"/>
      <c r="O11" s="324"/>
      <c r="P11" s="326"/>
      <c r="Q11" s="335"/>
      <c r="R11" s="330"/>
      <c r="S11" s="335"/>
      <c r="T11" s="330"/>
      <c r="U11" s="329"/>
      <c r="V11" s="217" t="str">
        <f t="shared" si="2"/>
        <v/>
      </c>
      <c r="W11" s="217"/>
      <c r="X11" s="217" t="str">
        <f t="shared" si="0"/>
        <v/>
      </c>
      <c r="Y11" s="217"/>
      <c r="Z11" s="217" t="str">
        <f t="shared" si="3"/>
        <v/>
      </c>
      <c r="AA11" s="218"/>
      <c r="AD11" s="2" t="e">
        <f t="shared" si="4"/>
        <v>#VALUE!</v>
      </c>
      <c r="AE11" s="2" t="e">
        <f t="shared" si="5"/>
        <v>#VALUE!</v>
      </c>
      <c r="AG11" s="37" t="b">
        <v>0</v>
      </c>
      <c r="AH11" s="2" t="str">
        <f t="shared" si="6"/>
        <v>エラー</v>
      </c>
      <c r="AI11" s="2" t="str">
        <f t="shared" si="7"/>
        <v>エラー</v>
      </c>
      <c r="AK11" s="2" t="e">
        <f t="shared" si="8"/>
        <v>#DIV/0!</v>
      </c>
      <c r="AL11" s="2" t="e">
        <f t="shared" si="9"/>
        <v>#DIV/0!</v>
      </c>
      <c r="AN11" s="2">
        <f t="shared" si="10"/>
        <v>0</v>
      </c>
      <c r="AO11" s="19" t="str">
        <f t="shared" si="1"/>
        <v>FALSE</v>
      </c>
    </row>
    <row r="12" spans="2:41" s="2" customFormat="1" ht="21.95" customHeight="1">
      <c r="B12" s="230"/>
      <c r="C12" s="231"/>
      <c r="D12" s="232"/>
      <c r="E12" s="285"/>
      <c r="F12" s="286"/>
      <c r="G12" s="233"/>
      <c r="H12" s="232"/>
      <c r="I12" s="233"/>
      <c r="J12" s="232"/>
      <c r="K12" s="233"/>
      <c r="L12" s="295"/>
      <c r="M12" s="296"/>
      <c r="N12" s="323"/>
      <c r="O12" s="336"/>
      <c r="P12" s="326"/>
      <c r="Q12" s="335"/>
      <c r="R12" s="330"/>
      <c r="S12" s="335"/>
      <c r="T12" s="330"/>
      <c r="U12" s="329"/>
      <c r="V12" s="215" t="str">
        <f t="shared" si="2"/>
        <v/>
      </c>
      <c r="W12" s="216"/>
      <c r="X12" s="215" t="str">
        <f t="shared" si="0"/>
        <v/>
      </c>
      <c r="Y12" s="216"/>
      <c r="Z12" s="215" t="str">
        <f t="shared" si="3"/>
        <v/>
      </c>
      <c r="AA12" s="238"/>
      <c r="AD12" s="2" t="e">
        <f t="shared" si="4"/>
        <v>#VALUE!</v>
      </c>
      <c r="AE12" s="2" t="e">
        <f t="shared" si="5"/>
        <v>#VALUE!</v>
      </c>
      <c r="AG12" s="37" t="b">
        <v>0</v>
      </c>
      <c r="AH12" s="2" t="str">
        <f t="shared" si="6"/>
        <v>エラー</v>
      </c>
      <c r="AI12" s="2" t="str">
        <f t="shared" si="7"/>
        <v>エラー</v>
      </c>
      <c r="AK12" s="2" t="e">
        <f t="shared" si="8"/>
        <v>#DIV/0!</v>
      </c>
      <c r="AL12" s="2" t="e">
        <f t="shared" si="9"/>
        <v>#DIV/0!</v>
      </c>
      <c r="AN12" s="2">
        <f t="shared" si="10"/>
        <v>0</v>
      </c>
      <c r="AO12" s="19" t="str">
        <f t="shared" si="1"/>
        <v>FALSE</v>
      </c>
    </row>
    <row r="13" spans="2:41" s="2" customFormat="1" ht="21.95" customHeight="1">
      <c r="B13" s="230"/>
      <c r="C13" s="231"/>
      <c r="D13" s="232"/>
      <c r="E13" s="285"/>
      <c r="F13" s="286"/>
      <c r="G13" s="233"/>
      <c r="H13" s="232"/>
      <c r="I13" s="233"/>
      <c r="J13" s="232"/>
      <c r="K13" s="233"/>
      <c r="L13" s="295"/>
      <c r="M13" s="296"/>
      <c r="N13" s="323"/>
      <c r="O13" s="336"/>
      <c r="P13" s="326"/>
      <c r="Q13" s="335"/>
      <c r="R13" s="330"/>
      <c r="S13" s="335"/>
      <c r="T13" s="330"/>
      <c r="U13" s="329"/>
      <c r="V13" s="215" t="str">
        <f t="shared" si="2"/>
        <v/>
      </c>
      <c r="W13" s="216"/>
      <c r="X13" s="215" t="str">
        <f t="shared" si="0"/>
        <v/>
      </c>
      <c r="Y13" s="216"/>
      <c r="Z13" s="215" t="str">
        <f t="shared" si="3"/>
        <v/>
      </c>
      <c r="AA13" s="238"/>
      <c r="AD13" s="2" t="e">
        <f t="shared" si="4"/>
        <v>#VALUE!</v>
      </c>
      <c r="AE13" s="2" t="e">
        <f t="shared" si="5"/>
        <v>#VALUE!</v>
      </c>
      <c r="AG13" s="37" t="b">
        <v>0</v>
      </c>
      <c r="AH13" s="2" t="str">
        <f t="shared" si="6"/>
        <v>エラー</v>
      </c>
      <c r="AI13" s="2" t="str">
        <f t="shared" si="7"/>
        <v>エラー</v>
      </c>
      <c r="AK13" s="2" t="e">
        <f t="shared" si="8"/>
        <v>#DIV/0!</v>
      </c>
      <c r="AL13" s="2" t="e">
        <f t="shared" si="9"/>
        <v>#DIV/0!</v>
      </c>
      <c r="AN13" s="2">
        <f t="shared" si="10"/>
        <v>0</v>
      </c>
      <c r="AO13" s="19" t="str">
        <f t="shared" si="1"/>
        <v>FALSE</v>
      </c>
    </row>
    <row r="14" spans="2:41" s="2" customFormat="1" ht="21.95" customHeight="1">
      <c r="B14" s="230"/>
      <c r="C14" s="331"/>
      <c r="D14" s="332"/>
      <c r="E14" s="333"/>
      <c r="F14" s="333"/>
      <c r="G14" s="334"/>
      <c r="H14" s="236"/>
      <c r="I14" s="236"/>
      <c r="J14" s="236"/>
      <c r="K14" s="236"/>
      <c r="L14" s="281"/>
      <c r="M14" s="281"/>
      <c r="N14" s="323"/>
      <c r="O14" s="324"/>
      <c r="P14" s="326"/>
      <c r="Q14" s="335"/>
      <c r="R14" s="330"/>
      <c r="S14" s="335"/>
      <c r="T14" s="330"/>
      <c r="U14" s="329"/>
      <c r="V14" s="217" t="str">
        <f t="shared" si="2"/>
        <v/>
      </c>
      <c r="W14" s="217"/>
      <c r="X14" s="217" t="str">
        <f t="shared" si="0"/>
        <v/>
      </c>
      <c r="Y14" s="217"/>
      <c r="Z14" s="217" t="str">
        <f t="shared" si="3"/>
        <v/>
      </c>
      <c r="AA14" s="218"/>
      <c r="AD14" s="2" t="e">
        <f t="shared" si="4"/>
        <v>#VALUE!</v>
      </c>
      <c r="AE14" s="2" t="e">
        <f t="shared" si="5"/>
        <v>#VALUE!</v>
      </c>
      <c r="AG14" s="37" t="b">
        <v>0</v>
      </c>
      <c r="AH14" s="2" t="str">
        <f t="shared" si="6"/>
        <v>エラー</v>
      </c>
      <c r="AI14" s="2" t="str">
        <f t="shared" si="7"/>
        <v>エラー</v>
      </c>
      <c r="AK14" s="2" t="e">
        <f t="shared" si="8"/>
        <v>#DIV/0!</v>
      </c>
      <c r="AL14" s="2" t="e">
        <f t="shared" si="9"/>
        <v>#DIV/0!</v>
      </c>
      <c r="AN14" s="2">
        <f t="shared" si="10"/>
        <v>0</v>
      </c>
      <c r="AO14" s="19" t="str">
        <f t="shared" si="1"/>
        <v>FALSE</v>
      </c>
    </row>
    <row r="15" spans="2:41" s="2" customFormat="1" ht="21.95" customHeight="1">
      <c r="B15" s="230"/>
      <c r="C15" s="331"/>
      <c r="D15" s="332"/>
      <c r="E15" s="333"/>
      <c r="F15" s="333"/>
      <c r="G15" s="334"/>
      <c r="H15" s="236"/>
      <c r="I15" s="236"/>
      <c r="J15" s="236"/>
      <c r="K15" s="236"/>
      <c r="L15" s="281"/>
      <c r="M15" s="281"/>
      <c r="N15" s="323"/>
      <c r="O15" s="324"/>
      <c r="P15" s="326"/>
      <c r="Q15" s="335"/>
      <c r="R15" s="330"/>
      <c r="S15" s="335"/>
      <c r="T15" s="330"/>
      <c r="U15" s="329"/>
      <c r="V15" s="215" t="str">
        <f t="shared" si="2"/>
        <v/>
      </c>
      <c r="W15" s="216"/>
      <c r="X15" s="217" t="str">
        <f t="shared" si="0"/>
        <v/>
      </c>
      <c r="Y15" s="217"/>
      <c r="Z15" s="217" t="str">
        <f t="shared" si="3"/>
        <v/>
      </c>
      <c r="AA15" s="218"/>
      <c r="AD15" s="2" t="e">
        <f t="shared" si="4"/>
        <v>#VALUE!</v>
      </c>
      <c r="AE15" s="2" t="e">
        <f t="shared" si="5"/>
        <v>#VALUE!</v>
      </c>
      <c r="AG15" s="37" t="b">
        <v>0</v>
      </c>
      <c r="AH15" s="2" t="str">
        <f t="shared" si="6"/>
        <v>エラー</v>
      </c>
      <c r="AI15" s="2" t="str">
        <f t="shared" si="7"/>
        <v>エラー</v>
      </c>
      <c r="AK15" s="2" t="e">
        <f t="shared" si="8"/>
        <v>#DIV/0!</v>
      </c>
      <c r="AL15" s="2" t="e">
        <f t="shared" si="9"/>
        <v>#DIV/0!</v>
      </c>
      <c r="AN15" s="2">
        <f t="shared" si="10"/>
        <v>0</v>
      </c>
      <c r="AO15" s="19" t="str">
        <f t="shared" si="1"/>
        <v>FALSE</v>
      </c>
    </row>
    <row r="16" spans="2:41" s="2" customFormat="1" ht="21.95" customHeight="1">
      <c r="B16" s="230"/>
      <c r="C16" s="331"/>
      <c r="D16" s="332"/>
      <c r="E16" s="333"/>
      <c r="F16" s="333"/>
      <c r="G16" s="334"/>
      <c r="H16" s="236"/>
      <c r="I16" s="236"/>
      <c r="J16" s="236"/>
      <c r="K16" s="236"/>
      <c r="L16" s="281"/>
      <c r="M16" s="281"/>
      <c r="N16" s="323"/>
      <c r="O16" s="324"/>
      <c r="P16" s="326"/>
      <c r="Q16" s="335"/>
      <c r="R16" s="330"/>
      <c r="S16" s="335"/>
      <c r="T16" s="330"/>
      <c r="U16" s="329"/>
      <c r="V16" s="215" t="str">
        <f t="shared" si="2"/>
        <v/>
      </c>
      <c r="W16" s="216"/>
      <c r="X16" s="217" t="str">
        <f t="shared" si="0"/>
        <v/>
      </c>
      <c r="Y16" s="217"/>
      <c r="Z16" s="217" t="str">
        <f t="shared" si="3"/>
        <v/>
      </c>
      <c r="AA16" s="218"/>
      <c r="AD16" s="2" t="e">
        <f t="shared" si="4"/>
        <v>#VALUE!</v>
      </c>
      <c r="AE16" s="2" t="e">
        <f t="shared" si="5"/>
        <v>#VALUE!</v>
      </c>
      <c r="AG16" s="37" t="b">
        <v>0</v>
      </c>
      <c r="AH16" s="2" t="str">
        <f t="shared" si="6"/>
        <v>エラー</v>
      </c>
      <c r="AI16" s="2" t="str">
        <f t="shared" si="7"/>
        <v>エラー</v>
      </c>
      <c r="AK16" s="2" t="e">
        <f t="shared" si="8"/>
        <v>#DIV/0!</v>
      </c>
      <c r="AL16" s="2" t="e">
        <f t="shared" si="9"/>
        <v>#DIV/0!</v>
      </c>
      <c r="AN16" s="2">
        <f t="shared" si="10"/>
        <v>0</v>
      </c>
      <c r="AO16" s="19" t="str">
        <f t="shared" si="1"/>
        <v>FALSE</v>
      </c>
    </row>
    <row r="17" spans="2:41" s="2" customFormat="1" ht="21.95" customHeight="1">
      <c r="B17" s="230"/>
      <c r="C17" s="331"/>
      <c r="D17" s="332"/>
      <c r="E17" s="333"/>
      <c r="F17" s="333"/>
      <c r="G17" s="334"/>
      <c r="H17" s="236"/>
      <c r="I17" s="236"/>
      <c r="J17" s="236"/>
      <c r="K17" s="236"/>
      <c r="L17" s="281"/>
      <c r="M17" s="281"/>
      <c r="N17" s="323"/>
      <c r="O17" s="324"/>
      <c r="P17" s="325"/>
      <c r="Q17" s="326"/>
      <c r="R17" s="330"/>
      <c r="S17" s="335"/>
      <c r="T17" s="330"/>
      <c r="U17" s="329"/>
      <c r="V17" s="215" t="str">
        <f t="shared" si="2"/>
        <v/>
      </c>
      <c r="W17" s="216"/>
      <c r="X17" s="217" t="str">
        <f t="shared" si="0"/>
        <v/>
      </c>
      <c r="Y17" s="217"/>
      <c r="Z17" s="217" t="str">
        <f t="shared" si="3"/>
        <v/>
      </c>
      <c r="AA17" s="218"/>
      <c r="AD17" s="2" t="e">
        <f t="shared" si="4"/>
        <v>#VALUE!</v>
      </c>
      <c r="AE17" s="2" t="e">
        <f t="shared" si="5"/>
        <v>#VALUE!</v>
      </c>
      <c r="AG17" s="37" t="b">
        <v>0</v>
      </c>
      <c r="AH17" s="2" t="str">
        <f t="shared" si="6"/>
        <v>エラー</v>
      </c>
      <c r="AI17" s="2" t="str">
        <f t="shared" si="7"/>
        <v>エラー</v>
      </c>
      <c r="AK17" s="2" t="e">
        <f t="shared" si="8"/>
        <v>#DIV/0!</v>
      </c>
      <c r="AL17" s="2" t="e">
        <f t="shared" si="9"/>
        <v>#DIV/0!</v>
      </c>
      <c r="AN17" s="2">
        <f t="shared" si="10"/>
        <v>0</v>
      </c>
      <c r="AO17" s="19" t="str">
        <f t="shared" si="1"/>
        <v>FALSE</v>
      </c>
    </row>
    <row r="18" spans="2:41" s="2" customFormat="1" ht="21.95" customHeight="1">
      <c r="B18" s="230"/>
      <c r="C18" s="331"/>
      <c r="D18" s="332"/>
      <c r="E18" s="333"/>
      <c r="F18" s="333"/>
      <c r="G18" s="334"/>
      <c r="H18" s="236"/>
      <c r="I18" s="236"/>
      <c r="J18" s="236"/>
      <c r="K18" s="236"/>
      <c r="L18" s="281"/>
      <c r="M18" s="281"/>
      <c r="N18" s="323"/>
      <c r="O18" s="324"/>
      <c r="P18" s="325"/>
      <c r="Q18" s="326"/>
      <c r="R18" s="327"/>
      <c r="S18" s="328"/>
      <c r="T18" s="329"/>
      <c r="U18" s="325"/>
      <c r="V18" s="215" t="str">
        <f t="shared" si="2"/>
        <v/>
      </c>
      <c r="W18" s="216"/>
      <c r="X18" s="217" t="str">
        <f t="shared" si="0"/>
        <v/>
      </c>
      <c r="Y18" s="217"/>
      <c r="Z18" s="217" t="str">
        <f t="shared" si="3"/>
        <v/>
      </c>
      <c r="AA18" s="218"/>
      <c r="AD18" s="2" t="e">
        <f t="shared" si="4"/>
        <v>#VALUE!</v>
      </c>
      <c r="AE18" s="2" t="e">
        <f t="shared" si="5"/>
        <v>#VALUE!</v>
      </c>
      <c r="AG18" s="37" t="b">
        <v>0</v>
      </c>
      <c r="AH18" s="2" t="str">
        <f t="shared" si="6"/>
        <v>エラー</v>
      </c>
      <c r="AI18" s="2" t="str">
        <f t="shared" si="7"/>
        <v>エラー</v>
      </c>
      <c r="AK18" s="2" t="e">
        <f t="shared" si="8"/>
        <v>#DIV/0!</v>
      </c>
      <c r="AL18" s="2" t="e">
        <f t="shared" si="9"/>
        <v>#DIV/0!</v>
      </c>
      <c r="AN18" s="2">
        <f t="shared" si="10"/>
        <v>0</v>
      </c>
      <c r="AO18" s="19" t="str">
        <f t="shared" si="1"/>
        <v>FALSE</v>
      </c>
    </row>
    <row r="19" spans="2:41" s="2" customFormat="1" ht="21.95" customHeight="1" thickBot="1">
      <c r="B19" s="219"/>
      <c r="C19" s="316"/>
      <c r="D19" s="277"/>
      <c r="E19" s="278"/>
      <c r="F19" s="278"/>
      <c r="G19" s="279"/>
      <c r="H19" s="280"/>
      <c r="I19" s="280"/>
      <c r="J19" s="280"/>
      <c r="K19" s="280"/>
      <c r="L19" s="317"/>
      <c r="M19" s="317"/>
      <c r="N19" s="318"/>
      <c r="O19" s="319"/>
      <c r="P19" s="315"/>
      <c r="Q19" s="320"/>
      <c r="R19" s="321"/>
      <c r="S19" s="322"/>
      <c r="T19" s="314"/>
      <c r="U19" s="315"/>
      <c r="V19" s="215" t="str">
        <f t="shared" si="2"/>
        <v/>
      </c>
      <c r="W19" s="216"/>
      <c r="X19" s="217" t="str">
        <f t="shared" si="0"/>
        <v/>
      </c>
      <c r="Y19" s="217"/>
      <c r="Z19" s="226" t="str">
        <f t="shared" si="3"/>
        <v/>
      </c>
      <c r="AA19" s="229"/>
      <c r="AD19" s="2" t="e">
        <f t="shared" si="4"/>
        <v>#VALUE!</v>
      </c>
      <c r="AE19" s="2" t="e">
        <f t="shared" si="5"/>
        <v>#VALUE!</v>
      </c>
      <c r="AG19" s="37" t="b">
        <v>0</v>
      </c>
      <c r="AH19" s="2" t="str">
        <f t="shared" si="6"/>
        <v>エラー</v>
      </c>
      <c r="AI19" s="2" t="str">
        <f t="shared" si="7"/>
        <v>エラー</v>
      </c>
      <c r="AK19" s="2" t="e">
        <f t="shared" si="8"/>
        <v>#DIV/0!</v>
      </c>
      <c r="AL19" s="2" t="e">
        <f t="shared" si="9"/>
        <v>#DIV/0!</v>
      </c>
      <c r="AN19" s="2">
        <f t="shared" si="10"/>
        <v>0</v>
      </c>
      <c r="AO19" s="19" t="str">
        <f t="shared" si="1"/>
        <v>FALSE</v>
      </c>
    </row>
    <row r="20" spans="2:41" s="2" customFormat="1" ht="21.95" customHeight="1" thickBot="1">
      <c r="B20" s="200" t="s">
        <v>186</v>
      </c>
      <c r="C20" s="201"/>
      <c r="D20" s="201"/>
      <c r="E20" s="201"/>
      <c r="F20" s="201"/>
      <c r="G20" s="201"/>
      <c r="H20" s="201"/>
      <c r="I20" s="201"/>
      <c r="J20" s="201"/>
      <c r="K20" s="201"/>
      <c r="L20" s="201"/>
      <c r="M20" s="201"/>
      <c r="N20" s="201"/>
      <c r="O20" s="201"/>
      <c r="P20" s="201"/>
      <c r="Q20" s="201"/>
      <c r="R20" s="201"/>
      <c r="S20" s="201"/>
      <c r="T20" s="201"/>
      <c r="U20" s="201"/>
      <c r="V20" s="202">
        <f>SUM(V8:W19)</f>
        <v>0</v>
      </c>
      <c r="W20" s="202"/>
      <c r="X20" s="202">
        <f>IF(共通条件・結果!AA7="８地域","-",SUM(X8:Y19))</f>
        <v>0</v>
      </c>
      <c r="Y20" s="202"/>
      <c r="Z20" s="202">
        <f>SUM(Z8:AA19)</f>
        <v>0</v>
      </c>
      <c r="AA20" s="203"/>
    </row>
    <row r="21" spans="2:41" s="2" customFormat="1" ht="9.9499999999999993" customHeight="1">
      <c r="AN21" s="287"/>
      <c r="AO21" s="287"/>
    </row>
    <row r="22" spans="2:41" s="2" customFormat="1" ht="21.95" customHeight="1" thickBot="1">
      <c r="E22" s="4"/>
      <c r="J22" s="4" t="s">
        <v>13</v>
      </c>
    </row>
    <row r="23" spans="2:41" s="2" customFormat="1" ht="21.95" customHeight="1">
      <c r="J23" s="248" t="s">
        <v>14</v>
      </c>
      <c r="K23" s="195"/>
      <c r="L23" s="195"/>
      <c r="M23" s="249"/>
      <c r="N23" s="302" t="s">
        <v>140</v>
      </c>
      <c r="O23" s="195"/>
      <c r="P23" s="195"/>
      <c r="Q23" s="249"/>
      <c r="R23" s="266" t="s">
        <v>141</v>
      </c>
      <c r="S23" s="178"/>
      <c r="T23" s="306" t="s">
        <v>9</v>
      </c>
      <c r="U23" s="307"/>
      <c r="V23" s="254" t="s">
        <v>145</v>
      </c>
      <c r="W23" s="255"/>
      <c r="X23" s="254" t="s">
        <v>143</v>
      </c>
      <c r="Y23" s="255"/>
      <c r="Z23" s="254" t="s">
        <v>110</v>
      </c>
      <c r="AA23" s="196"/>
      <c r="AN23" s="287" t="s">
        <v>58</v>
      </c>
      <c r="AO23" s="287"/>
    </row>
    <row r="24" spans="2:41" s="2" customFormat="1" ht="21.95" customHeight="1">
      <c r="J24" s="250"/>
      <c r="K24" s="287"/>
      <c r="L24" s="287"/>
      <c r="M24" s="251"/>
      <c r="N24" s="303"/>
      <c r="O24" s="304"/>
      <c r="P24" s="304"/>
      <c r="Q24" s="305"/>
      <c r="R24" s="269"/>
      <c r="S24" s="267"/>
      <c r="T24" s="308"/>
      <c r="U24" s="309"/>
      <c r="V24" s="256"/>
      <c r="W24" s="257"/>
      <c r="X24" s="256"/>
      <c r="Y24" s="257"/>
      <c r="Z24" s="298"/>
      <c r="AA24" s="299"/>
      <c r="AN24" s="19"/>
      <c r="AO24" s="19"/>
    </row>
    <row r="25" spans="2:41" s="2" customFormat="1" ht="21.95" customHeight="1" thickBot="1">
      <c r="J25" s="252"/>
      <c r="K25" s="297"/>
      <c r="L25" s="297"/>
      <c r="M25" s="253"/>
      <c r="N25" s="311" t="s">
        <v>8</v>
      </c>
      <c r="O25" s="312"/>
      <c r="P25" s="313" t="s">
        <v>7</v>
      </c>
      <c r="Q25" s="268"/>
      <c r="R25" s="268"/>
      <c r="S25" s="268"/>
      <c r="T25" s="310"/>
      <c r="U25" s="310"/>
      <c r="V25" s="258"/>
      <c r="W25" s="259"/>
      <c r="X25" s="258"/>
      <c r="Y25" s="259"/>
      <c r="Z25" s="300"/>
      <c r="AA25" s="301"/>
      <c r="AN25" s="45" t="s">
        <v>56</v>
      </c>
      <c r="AO25" s="2" t="s">
        <v>54</v>
      </c>
    </row>
    <row r="26" spans="2:41" s="2" customFormat="1" ht="21.95" customHeight="1">
      <c r="D26" s="56"/>
      <c r="E26" s="56"/>
      <c r="J26" s="288"/>
      <c r="K26" s="289"/>
      <c r="L26" s="289"/>
      <c r="M26" s="290"/>
      <c r="N26" s="291"/>
      <c r="O26" s="292"/>
      <c r="P26" s="292"/>
      <c r="Q26" s="293"/>
      <c r="R26" s="245"/>
      <c r="S26" s="245"/>
      <c r="T26" s="294"/>
      <c r="U26" s="294"/>
      <c r="V26" s="246" t="str">
        <f>IF(N26="","",N26*P26*R26*0.034*$V$4)</f>
        <v/>
      </c>
      <c r="W26" s="246"/>
      <c r="X26" s="246" t="str">
        <f>IF(N26="","",IF(ISERROR(N26*P26*R26*0.034*$X$4),"-",N26*P26*R26*0.034*$X$4))</f>
        <v/>
      </c>
      <c r="Y26" s="246"/>
      <c r="Z26" s="246" t="str">
        <f>IF(N26="","",N26*P26*AN26)</f>
        <v/>
      </c>
      <c r="AA26" s="247"/>
      <c r="AD26" s="37"/>
      <c r="AN26" s="2">
        <f>IF(AO26="FALSE",R26,IF(T26="風除室",1/((1/R26)+0.1),0.5*R26+0.5*(1/((1/R26)+AO26))))</f>
        <v>0</v>
      </c>
      <c r="AO26" s="19" t="str">
        <f>IF(T26="","FALSE",IF(T26="雨戸",0.1,IF(T26="ｼｬｯﾀｰ",0.1,IF(T26="障子",0.18,IF(T26="風除室",0.1)))))</f>
        <v>FALSE</v>
      </c>
    </row>
    <row r="27" spans="2:41" s="2" customFormat="1" ht="21.95" customHeight="1">
      <c r="D27" s="56"/>
      <c r="E27" s="56"/>
      <c r="J27" s="282"/>
      <c r="K27" s="283"/>
      <c r="L27" s="283"/>
      <c r="M27" s="284"/>
      <c r="N27" s="232"/>
      <c r="O27" s="285"/>
      <c r="P27" s="286"/>
      <c r="Q27" s="233"/>
      <c r="R27" s="232"/>
      <c r="S27" s="233"/>
      <c r="T27" s="295"/>
      <c r="U27" s="296"/>
      <c r="V27" s="215" t="str">
        <f>IF(N27="","",N27*P27*R27*0.034*$V$4)</f>
        <v/>
      </c>
      <c r="W27" s="216"/>
      <c r="X27" s="215" t="str">
        <f>IF(N27="","",IF(ISERROR(N27*P27*R27*0.034*$X$4),"-",N27*P27*R27*0.034*$X$4))</f>
        <v/>
      </c>
      <c r="Y27" s="216"/>
      <c r="Z27" s="215" t="str">
        <f>IF(N27="","",N27*P27*AN27)</f>
        <v/>
      </c>
      <c r="AA27" s="238"/>
      <c r="AD27" s="37"/>
      <c r="AN27" s="2">
        <f>IF(AO27="FALSE",R27,IF(T27="風除室",1/((1/R27)+0.1),0.5*R27+0.5*(1/((1/R27)+AO27))))</f>
        <v>0</v>
      </c>
      <c r="AO27" s="19" t="str">
        <f>IF(T27="","FALSE",IF(T27="雨戸",0.1,IF(T27="ｼｬｯﾀｰ",0.1,IF(T27="障子",0.18,IF(T27="風除室",0.1)))))</f>
        <v>FALSE</v>
      </c>
    </row>
    <row r="28" spans="2:41" s="2" customFormat="1" ht="21.95" customHeight="1" thickBot="1">
      <c r="D28" s="56"/>
      <c r="E28" s="56"/>
      <c r="J28" s="274"/>
      <c r="K28" s="275"/>
      <c r="L28" s="275"/>
      <c r="M28" s="276"/>
      <c r="N28" s="277"/>
      <c r="O28" s="278"/>
      <c r="P28" s="278"/>
      <c r="Q28" s="279"/>
      <c r="R28" s="280"/>
      <c r="S28" s="280"/>
      <c r="T28" s="281" t="s">
        <v>44</v>
      </c>
      <c r="U28" s="281"/>
      <c r="V28" s="270" t="str">
        <f>IF(N28="","",N28*P28*R28*0.034*$V$4)</f>
        <v/>
      </c>
      <c r="W28" s="270"/>
      <c r="X28" s="270" t="str">
        <f>IF(N28="","",IF(ISERROR(N28*P28*R28*0.034*$X$4),"-",N28*P28*R28*0.034*$X$4))</f>
        <v/>
      </c>
      <c r="Y28" s="270"/>
      <c r="Z28" s="270" t="str">
        <f>IF(N28="","",N28*P28*AN28)</f>
        <v/>
      </c>
      <c r="AA28" s="271"/>
      <c r="AD28" s="37"/>
      <c r="AN28" s="2" t="e">
        <f>IF(AO28="FALSE",R28,IF(T28="風除室",1/((1/R28)+0.1),0.5*R28+0.5*(1/((1/R28)+AO28))))</f>
        <v>#DIV/0!</v>
      </c>
      <c r="AO28" s="19" t="b">
        <f>IF(T28="","FALSE",IF(T28="雨戸",0.1,IF(T28="ｼｬｯﾀｰ",0.1,IF(T28="障子",0.18,IF(T28="風除室",0.1)))))</f>
        <v>0</v>
      </c>
    </row>
    <row r="29" spans="2:41" s="2" customFormat="1" ht="21.95" customHeight="1" thickBot="1">
      <c r="J29" s="200" t="s">
        <v>187</v>
      </c>
      <c r="K29" s="201"/>
      <c r="L29" s="201"/>
      <c r="M29" s="201"/>
      <c r="N29" s="201"/>
      <c r="O29" s="201"/>
      <c r="P29" s="201"/>
      <c r="Q29" s="201"/>
      <c r="R29" s="201"/>
      <c r="S29" s="201"/>
      <c r="T29" s="201"/>
      <c r="U29" s="348"/>
      <c r="V29" s="202">
        <f>SUM(V26:W28)</f>
        <v>0</v>
      </c>
      <c r="W29" s="202"/>
      <c r="X29" s="202">
        <f>SUM(X26:Y28)</f>
        <v>0</v>
      </c>
      <c r="Y29" s="202"/>
      <c r="Z29" s="202">
        <f>SUM(Z26:AA28)</f>
        <v>0</v>
      </c>
      <c r="AA29" s="203"/>
      <c r="AO29" s="19"/>
    </row>
    <row r="30" spans="2:41" s="2" customFormat="1" ht="9.9499999999999993" customHeight="1">
      <c r="J30" s="23"/>
      <c r="K30" s="23"/>
      <c r="L30" s="23"/>
      <c r="M30" s="23"/>
      <c r="N30" s="23"/>
      <c r="O30" s="23"/>
      <c r="P30" s="23"/>
      <c r="Q30" s="23"/>
      <c r="R30" s="23"/>
      <c r="S30" s="23"/>
      <c r="T30" s="23"/>
      <c r="U30" s="23"/>
      <c r="V30" s="46"/>
      <c r="W30" s="46"/>
      <c r="X30" s="46"/>
      <c r="Y30" s="46"/>
      <c r="Z30" s="46"/>
      <c r="AA30" s="46"/>
      <c r="AO30" s="19"/>
    </row>
    <row r="31" spans="2:41" s="2" customFormat="1" ht="21.95" customHeight="1" thickBot="1">
      <c r="J31" s="4" t="s">
        <v>15</v>
      </c>
      <c r="K31" s="4"/>
      <c r="L31" s="4"/>
      <c r="AO31" s="19"/>
    </row>
    <row r="32" spans="2:41" s="2" customFormat="1" ht="21.95" customHeight="1">
      <c r="J32" s="248" t="s">
        <v>0</v>
      </c>
      <c r="K32" s="249"/>
      <c r="L32" s="254" t="s">
        <v>146</v>
      </c>
      <c r="M32" s="255"/>
      <c r="N32" s="254" t="s">
        <v>147</v>
      </c>
      <c r="O32" s="255"/>
      <c r="P32" s="260" t="s">
        <v>148</v>
      </c>
      <c r="Q32" s="261"/>
      <c r="R32" s="266" t="s">
        <v>141</v>
      </c>
      <c r="S32" s="178"/>
      <c r="T32" s="266" t="s">
        <v>145</v>
      </c>
      <c r="U32" s="178"/>
      <c r="V32" s="266" t="s">
        <v>143</v>
      </c>
      <c r="W32" s="178"/>
      <c r="X32" s="266" t="s">
        <v>110</v>
      </c>
      <c r="Y32" s="179"/>
      <c r="AO32" s="19"/>
    </row>
    <row r="33" spans="2:41" s="2" customFormat="1" ht="21.95" customHeight="1">
      <c r="J33" s="250"/>
      <c r="K33" s="251"/>
      <c r="L33" s="256"/>
      <c r="M33" s="257"/>
      <c r="N33" s="256"/>
      <c r="O33" s="257"/>
      <c r="P33" s="262"/>
      <c r="Q33" s="263"/>
      <c r="R33" s="267"/>
      <c r="S33" s="267"/>
      <c r="T33" s="269"/>
      <c r="U33" s="267"/>
      <c r="V33" s="269"/>
      <c r="W33" s="267"/>
      <c r="X33" s="267"/>
      <c r="Y33" s="272"/>
      <c r="AO33" s="19"/>
    </row>
    <row r="34" spans="2:41" s="2" customFormat="1" ht="21.95" customHeight="1" thickBot="1">
      <c r="J34" s="252"/>
      <c r="K34" s="253"/>
      <c r="L34" s="258"/>
      <c r="M34" s="259"/>
      <c r="N34" s="258"/>
      <c r="O34" s="259"/>
      <c r="P34" s="264"/>
      <c r="Q34" s="265"/>
      <c r="R34" s="268"/>
      <c r="S34" s="268"/>
      <c r="T34" s="268"/>
      <c r="U34" s="268"/>
      <c r="V34" s="268"/>
      <c r="W34" s="268"/>
      <c r="X34" s="268"/>
      <c r="Y34" s="273"/>
    </row>
    <row r="35" spans="2:41" s="2" customFormat="1" ht="21.95" customHeight="1">
      <c r="J35" s="239"/>
      <c r="K35" s="240"/>
      <c r="L35" s="241"/>
      <c r="M35" s="242"/>
      <c r="N35" s="241"/>
      <c r="O35" s="242"/>
      <c r="P35" s="243" t="str">
        <f>IF(L35="","",L35-N35)</f>
        <v/>
      </c>
      <c r="Q35" s="244"/>
      <c r="R35" s="245"/>
      <c r="S35" s="245"/>
      <c r="T35" s="217" t="str">
        <f>IF(P35="","",P35*R35*0.034*$V$4)</f>
        <v/>
      </c>
      <c r="U35" s="217"/>
      <c r="V35" s="215" t="str">
        <f>IF(P35="","",IF(ISERROR(P35*R35*0.034*$X$4),"-",P35*R35*0.034*$X$4))</f>
        <v/>
      </c>
      <c r="W35" s="216"/>
      <c r="X35" s="246" t="str">
        <f>IF(R35="","",R35*P35)</f>
        <v/>
      </c>
      <c r="Y35" s="247"/>
      <c r="AD35" s="37"/>
      <c r="AE35" s="37"/>
      <c r="AF35" s="37"/>
    </row>
    <row r="36" spans="2:41" s="2" customFormat="1" ht="21.95" customHeight="1">
      <c r="J36" s="230"/>
      <c r="K36" s="231"/>
      <c r="L36" s="232"/>
      <c r="M36" s="233"/>
      <c r="N36" s="232"/>
      <c r="O36" s="233"/>
      <c r="P36" s="234" t="str">
        <f t="shared" ref="P36:P37" si="11">IF(L36="","",L36-N36)</f>
        <v/>
      </c>
      <c r="Q36" s="235"/>
      <c r="R36" s="232"/>
      <c r="S36" s="233"/>
      <c r="T36" s="215" t="str">
        <f t="shared" ref="T36:T39" si="12">IF(P36="","",P36*R36*0.034*$V$4)</f>
        <v/>
      </c>
      <c r="U36" s="216"/>
      <c r="V36" s="215" t="str">
        <f t="shared" ref="V36:V39" si="13">IF(P36="","",IF(ISERROR(P36*R36*0.034*$X$4),"-",P36*R36*0.034*$X$4))</f>
        <v/>
      </c>
      <c r="W36" s="216"/>
      <c r="X36" s="215" t="str">
        <f t="shared" ref="X36:X39" si="14">IF(R36="","",R36*P36)</f>
        <v/>
      </c>
      <c r="Y36" s="238"/>
      <c r="AD36" s="37"/>
      <c r="AE36" s="37"/>
      <c r="AF36" s="37"/>
    </row>
    <row r="37" spans="2:41" s="2" customFormat="1" ht="21.95" customHeight="1">
      <c r="J37" s="230"/>
      <c r="K37" s="231"/>
      <c r="L37" s="232"/>
      <c r="M37" s="233"/>
      <c r="N37" s="232"/>
      <c r="O37" s="233"/>
      <c r="P37" s="234" t="str">
        <f t="shared" si="11"/>
        <v/>
      </c>
      <c r="Q37" s="235"/>
      <c r="R37" s="232"/>
      <c r="S37" s="233"/>
      <c r="T37" s="215" t="str">
        <f t="shared" si="12"/>
        <v/>
      </c>
      <c r="U37" s="216"/>
      <c r="V37" s="215" t="str">
        <f t="shared" si="13"/>
        <v/>
      </c>
      <c r="W37" s="216"/>
      <c r="X37" s="215" t="str">
        <f t="shared" si="14"/>
        <v/>
      </c>
      <c r="Y37" s="238"/>
      <c r="AD37" s="37"/>
      <c r="AE37" s="37"/>
      <c r="AF37" s="37"/>
    </row>
    <row r="38" spans="2:41" s="2" customFormat="1" ht="21.95" customHeight="1">
      <c r="J38" s="230"/>
      <c r="K38" s="231"/>
      <c r="L38" s="232"/>
      <c r="M38" s="233"/>
      <c r="N38" s="232"/>
      <c r="O38" s="233"/>
      <c r="P38" s="234" t="str">
        <f>IF(L38="","",L38-N38)</f>
        <v/>
      </c>
      <c r="Q38" s="235"/>
      <c r="R38" s="236"/>
      <c r="S38" s="236"/>
      <c r="T38" s="217" t="str">
        <f t="shared" si="12"/>
        <v/>
      </c>
      <c r="U38" s="217"/>
      <c r="V38" s="215" t="str">
        <f t="shared" si="13"/>
        <v/>
      </c>
      <c r="W38" s="216"/>
      <c r="X38" s="217" t="str">
        <f t="shared" si="14"/>
        <v/>
      </c>
      <c r="Y38" s="218"/>
      <c r="AD38" s="37"/>
      <c r="AE38" s="37"/>
      <c r="AF38" s="37"/>
    </row>
    <row r="39" spans="2:41" s="2" customFormat="1" ht="21.95" customHeight="1" thickBot="1">
      <c r="J39" s="219"/>
      <c r="K39" s="220"/>
      <c r="L39" s="221"/>
      <c r="M39" s="222"/>
      <c r="N39" s="221"/>
      <c r="O39" s="222"/>
      <c r="P39" s="223" t="str">
        <f>IF(L39="","",L39-N39)</f>
        <v/>
      </c>
      <c r="Q39" s="224"/>
      <c r="R39" s="225"/>
      <c r="S39" s="225"/>
      <c r="T39" s="226" t="str">
        <f t="shared" si="12"/>
        <v/>
      </c>
      <c r="U39" s="226"/>
      <c r="V39" s="227" t="str">
        <f t="shared" si="13"/>
        <v/>
      </c>
      <c r="W39" s="228"/>
      <c r="X39" s="226" t="str">
        <f t="shared" si="14"/>
        <v/>
      </c>
      <c r="Y39" s="229"/>
      <c r="AD39" s="37"/>
      <c r="AE39" s="37"/>
      <c r="AF39" s="37"/>
    </row>
    <row r="40" spans="2:41" s="2" customFormat="1" ht="21.95" customHeight="1" thickBot="1">
      <c r="J40" s="200" t="s">
        <v>188</v>
      </c>
      <c r="K40" s="201"/>
      <c r="L40" s="201"/>
      <c r="M40" s="201"/>
      <c r="N40" s="201"/>
      <c r="O40" s="201"/>
      <c r="P40" s="201"/>
      <c r="Q40" s="201"/>
      <c r="R40" s="201"/>
      <c r="S40" s="201"/>
      <c r="T40" s="202">
        <f>SUM(T35:U39)</f>
        <v>0</v>
      </c>
      <c r="U40" s="202"/>
      <c r="V40" s="202">
        <f>IF(共通条件・結果!AA7="８地域","-",SUM(V35:W39))</f>
        <v>0</v>
      </c>
      <c r="W40" s="202"/>
      <c r="X40" s="202">
        <f>SUM(X35:Y39)</f>
        <v>0</v>
      </c>
      <c r="Y40" s="203"/>
    </row>
    <row r="41" spans="2:41" s="2" customFormat="1" ht="12">
      <c r="J41" s="47"/>
    </row>
    <row r="42" spans="2:41" s="2" customFormat="1" ht="21.95" customHeight="1" thickBot="1">
      <c r="B42" s="4" t="s">
        <v>189</v>
      </c>
    </row>
    <row r="43" spans="2:41" s="2" customFormat="1" ht="21.95" customHeight="1">
      <c r="B43" s="204" t="s">
        <v>184</v>
      </c>
      <c r="C43" s="205"/>
      <c r="D43" s="136" t="s">
        <v>37</v>
      </c>
      <c r="E43" s="137"/>
      <c r="F43" s="137"/>
      <c r="G43" s="137"/>
      <c r="H43" s="137"/>
      <c r="I43" s="137"/>
      <c r="J43" s="138"/>
      <c r="K43" s="9"/>
      <c r="L43" s="210">
        <f>Q43+U43+Y43</f>
        <v>0</v>
      </c>
      <c r="M43" s="210"/>
      <c r="N43" s="210"/>
      <c r="O43" s="9" t="s">
        <v>22</v>
      </c>
      <c r="P43" s="10" t="s">
        <v>21</v>
      </c>
      <c r="Q43" s="211">
        <f>D8*F8+D9*F9+D10*F10+D11*F11+D12*F12+D13*F13+D14*F14+D15*F15+D16*F16+D17*F17+D18*F18+D19*F19</f>
        <v>0</v>
      </c>
      <c r="R43" s="211"/>
      <c r="S43" s="48" t="s">
        <v>23</v>
      </c>
      <c r="T43" s="48" t="s">
        <v>20</v>
      </c>
      <c r="U43" s="212">
        <f>N26*P26+N27*P27+N28*P28</f>
        <v>0</v>
      </c>
      <c r="V43" s="212"/>
      <c r="W43" s="48" t="s">
        <v>23</v>
      </c>
      <c r="X43" s="48" t="s">
        <v>1</v>
      </c>
      <c r="Y43" s="214">
        <f>SUM(P35:Q39)</f>
        <v>0</v>
      </c>
      <c r="Z43" s="214"/>
      <c r="AA43" s="49" t="s">
        <v>17</v>
      </c>
    </row>
    <row r="44" spans="2:41" s="2" customFormat="1" ht="21.95" customHeight="1">
      <c r="B44" s="206"/>
      <c r="C44" s="207"/>
      <c r="D44" s="141" t="s">
        <v>47</v>
      </c>
      <c r="E44" s="142"/>
      <c r="F44" s="142"/>
      <c r="G44" s="142"/>
      <c r="H44" s="142"/>
      <c r="I44" s="142"/>
      <c r="J44" s="143"/>
      <c r="K44" s="8"/>
      <c r="L44" s="8"/>
      <c r="M44" s="8"/>
      <c r="N44" s="8"/>
      <c r="O44" s="8"/>
      <c r="P44" s="8"/>
      <c r="Q44" s="8"/>
      <c r="R44" s="8"/>
      <c r="S44" s="8"/>
      <c r="T44" s="8"/>
      <c r="U44" s="8"/>
      <c r="V44" s="8"/>
      <c r="W44" s="197">
        <f>V20+V29+T40</f>
        <v>0</v>
      </c>
      <c r="X44" s="197"/>
      <c r="Y44" s="197"/>
      <c r="Z44" s="198" t="s">
        <v>113</v>
      </c>
      <c r="AA44" s="199"/>
    </row>
    <row r="45" spans="2:41" s="2" customFormat="1" ht="21.95" customHeight="1">
      <c r="B45" s="206"/>
      <c r="C45" s="207"/>
      <c r="D45" s="141" t="s">
        <v>48</v>
      </c>
      <c r="E45" s="142"/>
      <c r="F45" s="142"/>
      <c r="G45" s="142"/>
      <c r="H45" s="142"/>
      <c r="I45" s="142"/>
      <c r="J45" s="143"/>
      <c r="K45" s="8"/>
      <c r="L45" s="8"/>
      <c r="M45" s="8"/>
      <c r="N45" s="8"/>
      <c r="O45" s="8"/>
      <c r="P45" s="8"/>
      <c r="Q45" s="8"/>
      <c r="R45" s="8"/>
      <c r="S45" s="8"/>
      <c r="T45" s="8"/>
      <c r="U45" s="8"/>
      <c r="V45" s="8"/>
      <c r="W45" s="197">
        <f>IF(共通条件・結果!AA7="８地域","-",$X$20+$X$29+$V$40)</f>
        <v>0</v>
      </c>
      <c r="X45" s="197"/>
      <c r="Y45" s="197"/>
      <c r="Z45" s="198" t="s">
        <v>113</v>
      </c>
      <c r="AA45" s="199"/>
    </row>
    <row r="46" spans="2:41" s="2" customFormat="1" ht="21.95" customHeight="1" thickBot="1">
      <c r="B46" s="208"/>
      <c r="C46" s="209"/>
      <c r="D46" s="180" t="s">
        <v>18</v>
      </c>
      <c r="E46" s="181"/>
      <c r="F46" s="181"/>
      <c r="G46" s="181"/>
      <c r="H46" s="181"/>
      <c r="I46" s="181"/>
      <c r="J46" s="182"/>
      <c r="K46" s="7"/>
      <c r="L46" s="7"/>
      <c r="M46" s="7"/>
      <c r="N46" s="7"/>
      <c r="O46" s="7"/>
      <c r="P46" s="7"/>
      <c r="Q46" s="7"/>
      <c r="R46" s="7"/>
      <c r="S46" s="7"/>
      <c r="T46" s="7"/>
      <c r="U46" s="7"/>
      <c r="V46" s="7"/>
      <c r="W46" s="237">
        <f>Z20+Z29+X40</f>
        <v>0</v>
      </c>
      <c r="X46" s="237"/>
      <c r="Y46" s="237"/>
      <c r="Z46" s="44" t="s">
        <v>19</v>
      </c>
      <c r="AA46" s="50"/>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SuL90W8rJHTzC7Oos6Gadi8dGlu7yj0j+4vsl7KLZvZDBukvnyDlzhtu+U5Bf97bFL/P3PaxXuHBjFdxEEETHA==" saltValue="YvRoCyZPZi7ooDVKWRQpGQ==" spinCount="100000" sheet="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B8:U19">
    <cfRule type="expression" dxfId="35" priority="155" stopIfTrue="1">
      <formula>$AE$2&lt;&gt;2</formula>
    </cfRule>
  </conditionalFormatting>
  <conditionalFormatting sqref="J35:O39">
    <cfRule type="expression" dxfId="34" priority="81" stopIfTrue="1">
      <formula>$AE$2&lt;&gt;2</formula>
    </cfRule>
  </conditionalFormatting>
  <conditionalFormatting sqref="J26:U28">
    <cfRule type="expression" dxfId="33" priority="119" stopIfTrue="1">
      <formula>$AE$2&lt;&gt;2</formula>
    </cfRule>
  </conditionalFormatting>
  <conditionalFormatting sqref="L43:N43">
    <cfRule type="expression" dxfId="32" priority="7">
      <formula>$AE$2&lt;&gt;2</formula>
    </cfRule>
  </conditionalFormatting>
  <conditionalFormatting sqref="P35:Q39">
    <cfRule type="expression" dxfId="31" priority="14">
      <formula>$AE$2&lt;&gt;2</formula>
    </cfRule>
  </conditionalFormatting>
  <conditionalFormatting sqref="Q43:R43">
    <cfRule type="expression" dxfId="30" priority="6">
      <formula>$AE$2&lt;&gt;2</formula>
    </cfRule>
  </conditionalFormatting>
  <conditionalFormatting sqref="R35:S39">
    <cfRule type="expression" dxfId="29" priority="79" stopIfTrue="1">
      <formula>$AE$2&lt;&gt;2</formula>
    </cfRule>
  </conditionalFormatting>
  <conditionalFormatting sqref="T35:Y40">
    <cfRule type="expression" dxfId="28" priority="8">
      <formula>$AE$2&lt;&gt;2</formula>
    </cfRule>
  </conditionalFormatting>
  <conditionalFormatting sqref="U43:V43">
    <cfRule type="expression" dxfId="27" priority="5">
      <formula>$AE$2&lt;&gt;2</formula>
    </cfRule>
  </conditionalFormatting>
  <conditionalFormatting sqref="V8:AA19">
    <cfRule type="expression" dxfId="26" priority="43">
      <formula>$AE$2&lt;&gt;2</formula>
    </cfRule>
  </conditionalFormatting>
  <conditionalFormatting sqref="V26:AA29">
    <cfRule type="expression" dxfId="25" priority="31">
      <formula>$AE$2&lt;&gt;2</formula>
    </cfRule>
  </conditionalFormatting>
  <conditionalFormatting sqref="W44:Y46">
    <cfRule type="expression" dxfId="24" priority="1">
      <formula>$AE$2&lt;&gt;2</formula>
    </cfRule>
  </conditionalFormatting>
  <conditionalFormatting sqref="Y43:Z43">
    <cfRule type="expression" dxfId="23" priority="4">
      <formula>$AE$2&lt;&gt;2</formula>
    </cfRule>
  </conditionalFormatting>
  <dataValidations count="1">
    <dataValidation type="list" allowBlank="1" showInputMessage="1" showErrorMessage="1" sqref="M14:M19 L8:L19 M8:M11 T26:T28 U26 U28" xr:uid="{00000000-0002-0000-08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2.5</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3905"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23906"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23907"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23908"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23909"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23910"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23911"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23912"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23913"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23914"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23915"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23916"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共通条件・結果</vt:lpstr>
      <vt:lpstr>Ａ（北）</vt:lpstr>
      <vt:lpstr>Ａ（北東）</vt:lpstr>
      <vt:lpstr>Ａ（東）</vt:lpstr>
      <vt:lpstr>Ａ（南東）</vt:lpstr>
      <vt:lpstr>Ａ（南）</vt:lpstr>
      <vt:lpstr>Ａ（南西）</vt:lpstr>
      <vt:lpstr>Ａ（西）</vt:lpstr>
      <vt:lpstr>Ａ（北西）</vt:lpstr>
      <vt:lpstr>Ｂ（屋根・床等）</vt:lpstr>
      <vt:lpstr>Ｃ（基礎）</vt:lpstr>
      <vt:lpstr>【付録】</vt:lpstr>
      <vt:lpstr>外皮計算書についてのQ&amp;A</vt:lpstr>
      <vt:lpstr>更新履歴</vt:lpstr>
      <vt:lpstr>【付録】!Print_Area</vt:lpstr>
      <vt:lpstr>'Ａ（西）'!Print_Area</vt:lpstr>
      <vt:lpstr>'Ａ（東）'!Print_Area</vt:lpstr>
      <vt:lpstr>'Ａ（南）'!Print_Area</vt:lpstr>
      <vt:lpstr>'Ａ（南西）'!Print_Area</vt:lpstr>
      <vt:lpstr>'Ａ（南東）'!Print_Area</vt:lpstr>
      <vt:lpstr>'Ａ（北）'!Print_Area</vt:lpstr>
      <vt:lpstr>'Ａ（北西）'!Print_Area</vt:lpstr>
      <vt:lpstr>'Ａ（北東）'!Print_Area</vt:lpstr>
      <vt:lpstr>'Ｂ（屋根・床等）'!Print_Area</vt:lpstr>
      <vt:lpstr>'Ｃ（基礎）'!Print_Area</vt:lpstr>
      <vt:lpstr>'外皮計算書についてのQ&amp;A'!Print_Area</vt:lpstr>
      <vt:lpstr>共通条件・結果!Print_Area</vt:lpstr>
      <vt:lpstr>更新履歴!Print_Area</vt:lpstr>
      <vt:lpstr>温度差係数</vt:lpstr>
      <vt:lpstr>'Ｃ（基礎）'!夏方位係数</vt:lpstr>
      <vt:lpstr>'Ｃ（基礎）'!冬方位係数</vt:lpstr>
      <vt:lpstr>'Ｃ（基礎）'!方位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suito</dc:creator>
  <cp:lastModifiedBy>kakunin</cp:lastModifiedBy>
  <cp:lastPrinted>2025-04-08T08:07:28Z</cp:lastPrinted>
  <dcterms:created xsi:type="dcterms:W3CDTF">2001-06-12T05:58:42Z</dcterms:created>
  <dcterms:modified xsi:type="dcterms:W3CDTF">2025-04-14T04:21:23Z</dcterms:modified>
</cp:coreProperties>
</file>