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akunin\kakunin$\06職員別保存DATA\中田\省エネ関連\（住宅性能評価・表示協会）外皮計算シート 、部位U値、内部結露\外皮計算シート\最新　戸建Ver2.5\"/>
    </mc:Choice>
  </mc:AlternateContent>
  <xr:revisionPtr revIDLastSave="0" documentId="13_ncr:1_{88501A00-8D0E-4EBB-877C-52EBAF6BA17A}" xr6:coauthVersionLast="47" xr6:coauthVersionMax="47" xr10:uidLastSave="{00000000-0000-0000-0000-000000000000}"/>
  <bookViews>
    <workbookView xWindow="-120" yWindow="-120" windowWidth="29040" windowHeight="15840" xr2:uid="{1FD93D19-C68E-4D7A-A753-65DD3094395D}"/>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についてのQ&amp;A"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'Ａ（西）'!$B$2:$AA$46</definedName>
    <definedName name="_xlnm.Print_Area" localSheetId="3">'Ａ（東）'!$B$2:$AA$46</definedName>
    <definedName name="_xlnm.Print_Area" localSheetId="5">'Ａ（南）'!$B$2:$AA$46</definedName>
    <definedName name="_xlnm.Print_Area" localSheetId="6">'Ａ（南西）'!$B$2:$AA$46</definedName>
    <definedName name="_xlnm.Print_Area" localSheetId="4">'Ａ（南東）'!$B$2:$AA$46</definedName>
    <definedName name="_xlnm.Print_Area" localSheetId="1">'Ａ（北）'!$B$2:$AA$46</definedName>
    <definedName name="_xlnm.Print_Area" localSheetId="8">'Ａ（北西）'!$B$2:$AA$46</definedName>
    <definedName name="_xlnm.Print_Area" localSheetId="2">'Ａ（北東）'!$B$2:$AA$46</definedName>
    <definedName name="_xlnm.Print_Area" localSheetId="9">'Ｂ（屋根・床等）'!$B$2:$AA$35</definedName>
    <definedName name="_xlnm.Print_Area" localSheetId="10">'Ｃ（基礎）'!$B$2:$AC$46</definedName>
    <definedName name="_xlnm.Print_Area" localSheetId="12">'外皮計算書についてのQ&amp;A'!$A$1:$K$58</definedName>
    <definedName name="_xlnm.Print_Area" localSheetId="0">共通条件・結果!$B$2:$AC$28</definedName>
    <definedName name="_xlnm.Print_Area" localSheetId="13">更新履歴!$A$1:$F$24</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81029"/>
</workbook>
</file>

<file path=xl/calcChain.xml><?xml version="1.0" encoding="utf-8"?>
<calcChain xmlns="http://schemas.openxmlformats.org/spreadsheetml/2006/main">
  <c r="O18" i="131" l="1"/>
  <c r="O17" i="131"/>
  <c r="T17" i="131" s="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AP35" i="130" s="1"/>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H35" i="130"/>
  <c r="W35" i="130" s="1"/>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W45" i="130" l="1"/>
  <c r="Q30" i="130"/>
  <c r="AJ13" i="129"/>
  <c r="AH13" i="129" s="1"/>
  <c r="AI13" i="129"/>
  <c r="AG13" i="129"/>
  <c r="AE13" i="129"/>
  <c r="AA13" i="129"/>
  <c r="Y13" i="129"/>
  <c r="AJ12" i="129"/>
  <c r="AH12" i="129" s="1"/>
  <c r="AI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H8" i="129" s="1"/>
  <c r="AI8" i="129"/>
  <c r="AG8" i="129"/>
  <c r="AE8" i="129"/>
  <c r="AF8" i="129" s="1"/>
  <c r="AA8" i="129"/>
  <c r="Y8" i="129"/>
  <c r="AJ7" i="129"/>
  <c r="AI7" i="129"/>
  <c r="AH7" i="129"/>
  <c r="AG7" i="129"/>
  <c r="AE7" i="129"/>
  <c r="AA7" i="129"/>
  <c r="Y7" i="129"/>
  <c r="AJ6" i="129"/>
  <c r="AI6" i="129"/>
  <c r="AH6" i="129"/>
  <c r="AG6" i="129"/>
  <c r="AE6" i="129"/>
  <c r="AA6" i="129"/>
  <c r="Y6" i="129"/>
  <c r="AF6" i="129" l="1"/>
  <c r="AF13" i="129"/>
  <c r="AF7" i="129"/>
  <c r="AL8" i="112"/>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N35" i="130"/>
  <c r="AP39" i="130"/>
  <c r="AN39" i="130"/>
  <c r="AP36" i="130"/>
  <c r="AK35" i="130" s="1"/>
  <c r="T35" i="130" s="1"/>
  <c r="T45" i="130" s="1"/>
  <c r="AN36" i="130"/>
  <c r="AJ35" i="130" s="1"/>
  <c r="Q35" i="130" s="1"/>
  <c r="Q45" i="130" s="1"/>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s="1"/>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s="1"/>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I15" i="126" s="1"/>
  <c r="AK15" i="126"/>
  <c r="AH15" i="126" s="1"/>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I19" i="122" s="1"/>
  <c r="AK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s="1"/>
  <c r="Z16" i="121"/>
  <c r="X16" i="121"/>
  <c r="V16" i="121"/>
  <c r="AO15" i="121"/>
  <c r="AN15" i="121" s="1"/>
  <c r="AL15" i="121"/>
  <c r="AI15" i="121" s="1"/>
  <c r="AK15" i="121"/>
  <c r="AH15" i="121" s="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I11" i="121" s="1"/>
  <c r="AK11" i="121"/>
  <c r="AH11" i="121" s="1"/>
  <c r="AD11" i="121" s="1"/>
  <c r="V11" i="121" s="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5" i="124" l="1"/>
  <c r="W44" i="127"/>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AH23" i="131" l="1"/>
  <c r="J12" i="131" s="1"/>
  <c r="J17" i="131" s="1"/>
  <c r="AH24" i="131"/>
  <c r="T18" i="131" s="1"/>
  <c r="X11" i="131" l="1"/>
  <c r="J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<sst xmlns="http://schemas.openxmlformats.org/spreadsheetml/2006/main" count="911" uniqueCount="297">
  <si>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</si>
  <si>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</si>
  <si>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</si>
  <si>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</si>
  <si>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</si>
  <si>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</si>
  <si>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</si>
  <si>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</si>
  <si>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</si>
  <si>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</si>
  <si>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</si>
  <si>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</si>
  <si>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</si>
  <si>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</si>
  <si>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</si>
  <si>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</si>
  <si>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</si>
  <si>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</si>
  <si>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</si>
  <si>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</si>
  <si>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</si>
  <si>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</si>
  <si>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</si>
  <si>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</si>
  <si>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</si>
  <si>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</si>
  <si>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</si>
  <si>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</si>
  <si>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</si>
  <si>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</si>
  <si>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</si>
  <si>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</si>
  <si>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</si>
  <si>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</si>
  <si>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</si>
  <si>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</si>
  <si>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</si>
  <si>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</si>
  <si>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</si>
  <si>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</si>
  <si>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</si>
  <si>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</si>
  <si>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</si>
  <si>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</si>
  <si>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</si>
  <si>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</si>
  <si>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</si>
  <si>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</si>
  <si>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</si>
  <si>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</si>
  <si>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</si>
  <si>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</si>
  <si>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</si>
  <si>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</si>
  <si>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</si>
  <si>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</si>
  <si>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</si>
  <si>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</si>
  <si>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</si>
  <si>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</si>
  <si>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</si>
  <si>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</si>
  <si>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</si>
  <si>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</si>
  <si>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</si>
  <si>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</si>
  <si>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</si>
  <si>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</si>
  <si>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</si>
  <si>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</si>
  <si>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</si>
  <si>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</si>
  <si>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</si>
  <si>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</si>
  <si>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</si>
  <si>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</si>
  <si>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</si>
  <si>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</si>
  <si>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</si>
  <si>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</si>
  <si>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</si>
  <si>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</si>
  <si>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</si>
  <si>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</si>
  <si>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</si>
  <si>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</si>
  <si>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</si>
  <si>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</si>
  <si>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</si>
  <si>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</si>
  <si>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</si>
  <si>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</si>
  <si>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</si>
  <si>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</si>
  <si>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</si>
  <si>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</si>
  <si>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</si>
  <si>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</si>
  <si>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</si>
  <si>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</si>
  <si>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</si>
  <si>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</si>
  <si>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</si>
  <si>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</si>
  <si>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</si>
  <si>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</si>
  <si>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</si>
  <si>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</si>
  <si>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</si>
  <si>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</si>
  <si>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</si>
  <si>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</si>
  <si>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</si>
  <si>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</si>
  <si>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</si>
  <si>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</si>
  <si>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</si>
  <si>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</si>
  <si>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</si>
  <si>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</si>
  <si>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</si>
  <si>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</si>
  <si>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</si>
  <si>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</si>
  <si>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</si>
  <si>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</si>
  <si>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</si>
  <si>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</si>
  <si>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</si>
  <si>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</si>
  <si>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</si>
  <si>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</si>
  <si>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</si>
  <si>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</si>
  <si>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</si>
  <si>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</si>
  <si>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</si>
  <si>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</si>
  <si>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</si>
  <si>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</si>
  <si>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</si>
  <si>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</si>
  <si>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</si>
  <si>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</si>
  <si>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</si>
  <si>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</si>
  <si>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</si>
  <si>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</si>
  <si>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</si>
  <si>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</si>
  <si>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</si>
  <si>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</si>
  <si>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</si>
  <si>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</si>
  <si>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</si>
  <si>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</si>
  <si>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</si>
  <si>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</si>
  <si>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</si>
  <si>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</si>
  <si>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</si>
  <si>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</si>
  <si>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</si>
  <si>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</si>
  <si>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</si>
  <si>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</si>
  <si>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</si>
  <si>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</si>
  <si>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</si>
  <si>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</si>
  <si>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</si>
  <si>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</si>
  <si>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</si>
  <si>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</si>
  <si>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</si>
  <si>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</si>
  <si>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</si>
  <si>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</si>
  <si>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</si>
  <si>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</si>
  <si>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</si>
  <si>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</si>
  <si>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</si>
  <si>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</si>
  <si>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</si>
  <si>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</si>
  <si>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</si>
  <si>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</si>
  <si>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</si>
  <si>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</si>
  <si>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</si>
  <si>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</si>
  <si>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</si>
  <si>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</si>
  <si>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</si>
  <si>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</si>
  <si>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</si>
  <si>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</si>
  <si>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</si>
  <si>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</si>
  <si>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</si>
  <si>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</si>
  <si>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</si>
  <si>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</si>
  <si>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</si>
  <si>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</si>
  <si>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</si>
  <si>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</si>
  <si>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</si>
  <si>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</si>
  <si>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</si>
  <si>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</si>
  <si>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</si>
  <si>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</si>
  <si>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</si>
  <si>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</si>
  <si>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</si>
  <si>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</si>
  <si>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</si>
  <si>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</si>
  <si>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</si>
  <si>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</si>
  <si>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</si>
  <si>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</si>
  <si>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</si>
  <si>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</si>
  <si>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</si>
  <si>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</si>
  <si>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</si>
  <si>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</si>
  <si>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</si>
  <si>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</si>
  <si>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</si>
  <si>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</si>
  <si>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</si>
  <si>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</si>
  <si>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</si>
  <si>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</si>
  <si>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</si>
  <si>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</si>
  <si>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</si>
  <si>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</si>
  <si>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</si>
  <si>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</si>
  <si>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</si>
  <si>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</si>
  <si>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</si>
  <si>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</si>
  <si>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</si>
  <si>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</si>
  <si>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t>等級5</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</si>
  <si>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</si>
  <si>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</si>
  <si>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</si>
  <si>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</si>
  <si>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</si>
  <si>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</si>
  <si>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</si>
  <si>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</si>
  <si>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</si>
  <si>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</si>
  <si>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</si>
  <si>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</si>
  <si>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</si>
  <si>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</si>
  <si>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</si>
  <si>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</si>
  <si>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</si>
  <si>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</si>
  <si>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</si>
  <si>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</si>
  <si>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</si>
  <si>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</si>
  <si>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</si>
  <si>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</si>
  <si>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</si>
  <si>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</si>
  <si>
    <t>等級3</t>
    <rPh sb="0" eb="2">
      <t>トウキュウ</t>
    </rPh>
    <phoneticPr fontId="4"/>
  </si>
  <si>
    <t>入力責任者：</t>
    <phoneticPr fontId="4"/>
  </si>
  <si>
    <t>Ver2.5</t>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</si>
  <si>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</si>
  <si>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共通条件・結果</t>
    <rPh sb="0" eb="2">
      <t>キョウツウ</t>
    </rPh>
    <rPh sb="2" eb="4">
      <t>ジョウケン</t>
    </rPh>
    <rPh sb="5" eb="7">
      <t>ケッカ</t>
    </rPh>
    <phoneticPr fontId="4"/>
  </si>
  <si>
    <t>入力責任者欄追加</t>
    <rPh sb="0" eb="2">
      <t>ニュウリョク</t>
    </rPh>
    <rPh sb="2" eb="5">
      <t>セキニンシャ</t>
    </rPh>
    <rPh sb="5" eb="6">
      <t>ラン</t>
    </rPh>
    <rPh sb="6" eb="8">
      <t>ツイカ</t>
    </rPh>
    <phoneticPr fontId="4"/>
  </si>
  <si>
    <t>省エネ基準明記</t>
    <rPh sb="0" eb="1">
      <t>ショウ</t>
    </rPh>
    <rPh sb="3" eb="5">
      <t>キジュン</t>
    </rPh>
    <rPh sb="5" eb="7">
      <t>メイキ</t>
    </rPh>
    <phoneticPr fontId="4"/>
  </si>
  <si>
    <t>基礎壁の入力箇所修正</t>
    <rPh sb="0" eb="2">
      <t>キソ</t>
    </rPh>
    <rPh sb="2" eb="3">
      <t>カベ</t>
    </rPh>
    <rPh sb="4" eb="6">
      <t>ニュウリョク</t>
    </rPh>
    <rPh sb="6" eb="8">
      <t>カショ</t>
    </rPh>
    <rPh sb="8" eb="10">
      <t>シュウセイ</t>
    </rPh>
    <phoneticPr fontId="4"/>
  </si>
  <si>
    <t>シートC（基礎）</t>
    <rPh sb="5" eb="7">
      <t>キソ</t>
    </rPh>
    <phoneticPr fontId="4"/>
  </si>
  <si>
    <t>シートA（方位別計算）、【付録】</t>
    <rPh sb="5" eb="7">
      <t>ホウイ</t>
    </rPh>
    <rPh sb="7" eb="8">
      <t>ベツ</t>
    </rPh>
    <rPh sb="8" eb="10">
      <t>ケイサン</t>
    </rPh>
    <rPh sb="13" eb="15">
      <t>フロク</t>
    </rPh>
    <phoneticPr fontId="4"/>
  </si>
  <si>
    <t>旧計算法の廃止時期を明記</t>
    <rPh sb="0" eb="1">
      <t>キュウ</t>
    </rPh>
    <rPh sb="1" eb="3">
      <t>ケイサン</t>
    </rPh>
    <rPh sb="3" eb="4">
      <t>ホウ</t>
    </rPh>
    <rPh sb="5" eb="7">
      <t>ハイシ</t>
    </rPh>
    <rPh sb="7" eb="9">
      <t>ジキ</t>
    </rPh>
    <rPh sb="10" eb="12">
      <t>メイキ</t>
    </rPh>
    <phoneticPr fontId="4"/>
  </si>
  <si>
    <t>外皮計算書についてのQ&amp;A</t>
    <rPh sb="0" eb="2">
      <t>ガイヒ</t>
    </rPh>
    <rPh sb="2" eb="5">
      <t>ケイサンショ</t>
    </rPh>
    <phoneticPr fontId="4"/>
  </si>
  <si>
    <t>シート名修正、内容修正</t>
    <rPh sb="3" eb="4">
      <t>メイ</t>
    </rPh>
    <rPh sb="4" eb="6">
      <t>シュウセイ</t>
    </rPh>
    <rPh sb="7" eb="9">
      <t>ナイヨウ</t>
    </rPh>
    <rPh sb="9" eb="11">
      <t>シュウセイ</t>
    </rPh>
    <phoneticPr fontId="4"/>
  </si>
  <si>
    <t>平均熱貫流率小数点以下2位の0を表記</t>
    <rPh sb="0" eb="2">
      <t>ヘイキン</t>
    </rPh>
    <rPh sb="2" eb="3">
      <t>ネツ</t>
    </rPh>
    <rPh sb="3" eb="5">
      <t>カンリュウ</t>
    </rPh>
    <rPh sb="5" eb="6">
      <t>リツ</t>
    </rPh>
    <rPh sb="6" eb="9">
      <t>ショウスウテン</t>
    </rPh>
    <rPh sb="9" eb="11">
      <t>イカ</t>
    </rPh>
    <rPh sb="12" eb="13">
      <t>イ</t>
    </rPh>
    <rPh sb="16" eb="18">
      <t>ヒョウキ</t>
    </rPh>
    <phoneticPr fontId="4"/>
  </si>
  <si>
    <t>6）</t>
    <phoneticPr fontId="4"/>
  </si>
  <si>
    <t>3）基礎壁の入力</t>
    <rPh sb="2" eb="4">
      <t>キソ</t>
    </rPh>
    <rPh sb="4" eb="5">
      <t>カベ</t>
    </rPh>
    <rPh sb="6" eb="8">
      <t>ニュウリョク</t>
    </rPh>
    <phoneticPr fontId="4"/>
  </si>
  <si>
    <t>　注２：Ｈ１の寸法（基礎高さ）は0.4ｍを上限とし、0.4ｍを超える部分は内訳計算シートCで計算して下さい。（外気に接する基礎壁はシートAでも計算可能です。）</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rPh sb="55" eb="57">
      <t>ガイキ</t>
    </rPh>
    <rPh sb="58" eb="59">
      <t>セッ</t>
    </rPh>
    <rPh sb="61" eb="63">
      <t>キソ</t>
    </rPh>
    <rPh sb="63" eb="64">
      <t>カベ</t>
    </rPh>
    <rPh sb="71" eb="73">
      <t>ケイサン</t>
    </rPh>
    <rPh sb="73" eb="75">
      <t>カノウ</t>
    </rPh>
    <phoneticPr fontId="4"/>
  </si>
  <si>
    <t>線熱貫流率
[W/(m・K)]</t>
    <rPh sb="0" eb="1">
      <t>セン</t>
    </rPh>
    <rPh sb="1" eb="2">
      <t>ネツ</t>
    </rPh>
    <rPh sb="2" eb="4">
      <t>カンリュウ</t>
    </rPh>
    <rPh sb="4" eb="5">
      <t>リツ</t>
    </rPh>
    <phoneticPr fontId="4"/>
  </si>
  <si>
    <r>
      <t xml:space="preserve">等級４
</t>
    </r>
    <r>
      <rPr>
        <sz val="8"/>
        <color rgb="FFFF0000"/>
        <rFont val="ＭＳ Ｐゴシック"/>
        <family val="3"/>
        <charset val="128"/>
      </rPr>
      <t>(省エネ基準相当)</t>
    </r>
    <rPh sb="5" eb="6">
      <t>ショウ</t>
    </rPh>
    <rPh sb="8" eb="10">
      <t>キジュン</t>
    </rPh>
    <rPh sb="10" eb="12">
      <t>ソウトウ</t>
    </rPh>
    <phoneticPr fontId="4"/>
  </si>
  <si>
    <r>
      <t xml:space="preserve">等級6
</t>
    </r>
    <r>
      <rPr>
        <sz val="8"/>
        <color rgb="FFFF0000"/>
        <rFont val="ＭＳ Ｐゴシック"/>
        <family val="3"/>
        <charset val="128"/>
      </rPr>
      <t>(誘導基準相当)</t>
    </r>
    <rPh sb="5" eb="7">
      <t>ユウドウ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</si>
</sst>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4">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4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2" fontId="8" fillId="0" borderId="0" xfId="0" applyNumberFormat="1" applyFont="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10" fillId="0" borderId="29" xfId="0" applyFont="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lignment vertical="center" shrinkToFit="1"/>
    </xf>
    <xf numFmtId="0" fontId="0" fillId="0" borderId="18" xfId="0" applyBorder="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Alignment="1">
      <alignment horizontal="center" vertical="center"/>
    </xf>
    <xf numFmtId="181" fontId="0" fillId="0" borderId="0" xfId="0" applyNumberFormat="1" applyAlignment="1">
      <alignment horizontal="center" vertical="center"/>
    </xf>
    <xf numFmtId="0" fontId="5" fillId="0" borderId="126" xfId="0" applyFont="1" applyBorder="1" applyAlignment="1">
      <alignment vertical="center" wrapText="1"/>
    </xf>
    <xf numFmtId="0" fontId="5" fillId="0" borderId="127" xfId="0" applyFont="1" applyBorder="1" applyAlignment="1">
      <alignment vertical="center" wrapText="1"/>
    </xf>
    <xf numFmtId="0" fontId="10" fillId="0" borderId="0" xfId="0" applyFont="1" applyAlignment="1">
      <alignment horizontal="right" vertical="center"/>
    </xf>
    <xf numFmtId="0" fontId="5" fillId="0" borderId="128" xfId="0" applyFont="1" applyBorder="1" applyAlignment="1">
      <alignment horizontal="center" vertical="center" wrapText="1"/>
    </xf>
    <xf numFmtId="0" fontId="5" fillId="0" borderId="100" xfId="0" applyFont="1" applyBorder="1" applyAlignment="1">
      <alignment vertical="center" wrapText="1"/>
    </xf>
    <xf numFmtId="0" fontId="5" fillId="0" borderId="87" xfId="0" applyFont="1" applyBorder="1" applyAlignment="1">
      <alignment horizontal="center" vertical="center" wrapText="1"/>
    </xf>
    <xf numFmtId="0" fontId="5" fillId="0" borderId="85" xfId="0" applyFont="1" applyBorder="1" applyAlignment="1">
      <alignment vertical="center" wrapText="1"/>
    </xf>
    <xf numFmtId="0" fontId="5" fillId="0" borderId="129" xfId="0" applyFont="1" applyBorder="1" applyAlignment="1">
      <alignment horizontal="center" vertical="center" wrapText="1"/>
    </xf>
    <xf numFmtId="0" fontId="5" fillId="0" borderId="130" xfId="0" applyFont="1" applyBorder="1" applyAlignment="1">
      <alignment vertical="center" wrapText="1"/>
    </xf>
    <xf numFmtId="0" fontId="5" fillId="0" borderId="101" xfId="0" applyFont="1" applyBorder="1" applyAlignment="1">
      <alignment horizontal="center" vertical="center" wrapText="1"/>
    </xf>
    <xf numFmtId="0" fontId="5" fillId="0" borderId="99" xfId="0" applyFont="1" applyBorder="1" applyAlignment="1">
      <alignment vertical="center" wrapText="1"/>
    </xf>
    <xf numFmtId="0" fontId="5" fillId="0" borderId="13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33" xfId="0" applyFont="1" applyBorder="1" applyAlignment="1">
      <alignment vertical="center" wrapText="1"/>
    </xf>
    <xf numFmtId="0" fontId="0" fillId="3" borderId="5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Font="1" applyBorder="1" applyAlignment="1">
      <alignment horizontal="right" vertical="center"/>
    </xf>
    <xf numFmtId="0" fontId="8" fillId="0" borderId="13" xfId="0"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2" fontId="8" fillId="0" borderId="8" xfId="0" applyNumberFormat="1" applyFont="1" applyBorder="1" applyAlignment="1">
      <alignment horizontal="right" vertical="center"/>
    </xf>
    <xf numFmtId="2"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2" fontId="8" fillId="0" borderId="13" xfId="0" applyNumberFormat="1"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0" fillId="0" borderId="18" xfId="0" applyBorder="1" applyAlignment="1">
      <alignment horizontal="center"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1"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68" xfId="0" applyNumberFormat="1" applyFont="1" applyBorder="1" applyAlignment="1">
      <alignment horizontal="center" vertical="center"/>
    </xf>
    <xf numFmtId="178" fontId="5" fillId="0" borderId="49"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39" xfId="0" applyNumberFormat="1" applyFont="1" applyBorder="1" applyAlignment="1">
      <alignment horizontal="center" vertical="center"/>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70"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9" fillId="3" borderId="64" xfId="0" applyFont="1" applyFill="1" applyBorder="1" applyAlignment="1" applyProtection="1">
      <alignment horizontal="center" vertical="center" shrinkToFit="1"/>
      <protection locked="0"/>
    </xf>
    <xf numFmtId="178" fontId="5" fillId="0" borderId="13" xfId="0" applyNumberFormat="1" applyFont="1" applyBorder="1" applyAlignment="1">
      <alignment horizontal="center" vertical="center"/>
    </xf>
    <xf numFmtId="178" fontId="5" fillId="0" borderId="107" xfId="0" applyNumberFormat="1" applyFont="1" applyBorder="1" applyAlignment="1">
      <alignment horizontal="center" vertical="center"/>
    </xf>
    <xf numFmtId="49" fontId="9" fillId="3" borderId="41" xfId="0" applyNumberFormat="1" applyFont="1" applyFill="1" applyBorder="1" applyAlignment="1" applyProtection="1">
      <alignment horizontal="left" vertical="center" shrinkToFit="1"/>
      <protection locked="0"/>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9" fillId="3" borderId="32" xfId="0" applyFont="1" applyFill="1" applyBorder="1" applyAlignment="1" applyProtection="1">
      <alignment horizontal="center" vertical="center" shrinkToFit="1"/>
      <protection locked="0"/>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0"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wrapText="1"/>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5" borderId="49"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178" fontId="5" fillId="0" borderId="16" xfId="0" applyNumberFormat="1" applyFont="1" applyBorder="1" applyAlignment="1">
      <alignment horizontal="center" vertical="center"/>
    </xf>
    <xf numFmtId="49" fontId="10" fillId="3" borderId="50" xfId="0" applyNumberFormat="1" applyFont="1" applyFill="1" applyBorder="1" applyAlignment="1" applyProtection="1">
      <alignment horizontal="left" vertical="center" shrinkToFit="1"/>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5" xfId="0" applyFont="1" applyBorder="1" applyAlignment="1">
      <alignment horizontal="center" vertical="center" shrinkToFit="1"/>
    </xf>
    <xf numFmtId="178" fontId="5" fillId="0" borderId="73" xfId="0" applyNumberFormat="1" applyFont="1" applyBorder="1" applyAlignment="1">
      <alignment horizontal="center" vertical="center"/>
    </xf>
    <xf numFmtId="49" fontId="9" fillId="3" borderId="41"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10" fillId="3" borderId="49" xfId="0" applyNumberFormat="1" applyFont="1" applyFill="1" applyBorder="1" applyAlignment="1" applyProtection="1">
      <alignment horizontal="center" vertical="center" shrinkToFit="1"/>
      <protection locked="0"/>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Font="1" applyBorder="1" applyAlignment="1">
      <alignment horizontal="center" vertical="center" shrinkToFit="1"/>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49" fontId="9" fillId="3" borderId="123"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4" xfId="0" applyFont="1" applyFill="1" applyBorder="1" applyAlignment="1" applyProtection="1">
      <alignment horizontal="center" vertical="center" shrinkToFit="1"/>
      <protection locked="0"/>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9" fillId="3" borderId="121"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2" xfId="0" applyFont="1" applyFill="1" applyBorder="1" applyAlignment="1" applyProtection="1">
      <alignment horizontal="center" vertical="center" shrinkToFit="1"/>
      <protection locked="0"/>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20" fillId="0" borderId="49" xfId="0" applyNumberFormat="1" applyFont="1" applyBorder="1" applyAlignment="1">
      <alignment horizontal="center" vertical="center"/>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178" fontId="5" fillId="0" borderId="109"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178" fontId="5" fillId="0" borderId="112"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125"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49" fontId="9" fillId="3" borderId="109"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2" xfId="5" applyNumberFormat="1" applyFont="1" applyFill="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4" fontId="5" fillId="0" borderId="18" xfId="0" applyNumberFormat="1" applyFont="1" applyBorder="1" applyAlignment="1">
      <alignment horizontal="center" vertical="center" wrapText="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00" xfId="0" applyNumberFormat="1" applyFont="1" applyBorder="1" applyAlignment="1">
      <alignment horizontal="center" vertical="center" wrapText="1"/>
    </xf>
    <xf numFmtId="14" fontId="5" fillId="0" borderId="132" xfId="0" applyNumberFormat="1"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140">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ill>
        <patternFill>
          <bgColor theme="1"/>
        </patternFill>
      </fill>
    </dxf>
    <dxf>
      <font>
        <color theme="1"/>
      </font>
      <fill>
        <patternFill>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E$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fmlaLink="$AG$8" lockText="1" noThreeD="1"/>
</file>

<file path=xl/ctrlProps/ctrlProp48.xml><?xml version="1.0" encoding="utf-8"?>
<formControlPr xmlns="http://schemas.microsoft.com/office/spreadsheetml/2009/9/main" objectType="CheckBox"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fmlaLink="$AG$10" lockText="1" noThreeD="1"/>
</file>

<file path=xl/ctrlProps/ctrlProp55.xml><?xml version="1.0" encoding="utf-8"?>
<formControlPr xmlns="http://schemas.microsoft.com/office/spreadsheetml/2009/9/main" objectType="CheckBox"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firstButton="1" fmlaLink="$AG$3" lockText="1" noThreeD="1"/>
</file>

<file path=xl/ctrlProps/ctrlProp131.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19</xdr:row>
          <xdr:rowOff>104775</xdr:rowOff>
        </xdr:from>
        <xdr:to>
          <xdr:col>25</xdr:col>
          <xdr:colOff>257175</xdr:colOff>
          <xdr:row>19</xdr:row>
          <xdr:rowOff>314325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104775</xdr:rowOff>
        </xdr:from>
        <xdr:to>
          <xdr:col>25</xdr:col>
          <xdr:colOff>257175</xdr:colOff>
          <xdr:row>15</xdr:row>
          <xdr:rowOff>314325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314325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314325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104775</xdr:rowOff>
        </xdr:from>
        <xdr:to>
          <xdr:col>25</xdr:col>
          <xdr:colOff>257175</xdr:colOff>
          <xdr:row>20</xdr:row>
          <xdr:rowOff>314325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104775</xdr:rowOff>
        </xdr:from>
        <xdr:to>
          <xdr:col>25</xdr:col>
          <xdr:colOff>257175</xdr:colOff>
          <xdr:row>18</xdr:row>
          <xdr:rowOff>314325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89647</xdr:colOff>
      <xdr:row>1</xdr:row>
      <xdr:rowOff>47625</xdr:rowOff>
    </xdr:from>
    <xdr:to>
      <xdr:col>69</xdr:col>
      <xdr:colOff>188525</xdr:colOff>
      <xdr:row>17</xdr:row>
      <xdr:rowOff>323397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03559" y="103654"/>
          <a:ext cx="7136172" cy="630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295275</xdr:colOff>
          <xdr:row>20</xdr:row>
          <xdr:rowOff>0</xdr:rowOff>
        </xdr:from>
        <xdr:to>
          <xdr:col>69</xdr:col>
          <xdr:colOff>152400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238125</xdr:colOff>
          <xdr:row>21</xdr:row>
          <xdr:rowOff>352425</xdr:rowOff>
        </xdr:from>
        <xdr:to>
          <xdr:col>47</xdr:col>
          <xdr:colOff>247650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22</xdr:row>
          <xdr:rowOff>47625</xdr:rowOff>
        </xdr:from>
        <xdr:to>
          <xdr:col>58</xdr:col>
          <xdr:colOff>104775</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228600</xdr:colOff>
          <xdr:row>21</xdr:row>
          <xdr:rowOff>247650</xdr:rowOff>
        </xdr:from>
        <xdr:to>
          <xdr:col>59</xdr:col>
          <xdr:colOff>133350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179" y="5736010"/>
          <a:ext cx="1504488" cy="2458292"/>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285550" y="2129388"/>
          <a:ext cx="3525450" cy="2659655"/>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136074</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 第３章 第３節 付録</a:t>
          </a: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endParaRPr kumimoji="1" lang="ja-JP" altLang="ja-JP" sz="1100" strike="sngStrike" baseline="0">
            <a:solidFill>
              <a:sysClr val="windowText" lastClr="000000"/>
            </a:solidFill>
            <a:effectLst/>
            <a:latin typeface="+mn-lt"/>
            <a:ea typeface="+mn-ea"/>
            <a:cs typeface="+mn-cs"/>
          </a:endParaRPr>
        </a:p>
        <a:p>
          <a:r>
            <a:rPr kumimoji="1" lang="en-US" altLang="ja-JP" sz="1100" b="1">
              <a:solidFill>
                <a:sysClr val="windowText" lastClr="000000"/>
              </a:solidFill>
              <a:effectLst/>
              <a:latin typeface="+mn-lt"/>
              <a:ea typeface="+mn-ea"/>
              <a:cs typeface="+mn-cs"/>
            </a:rPr>
            <a:t>2026</a:t>
          </a:r>
          <a:r>
            <a:rPr kumimoji="1" lang="ja-JP" altLang="en-US"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10</a:t>
          </a:r>
          <a:r>
            <a:rPr kumimoji="1" lang="ja-JP" altLang="en-US"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31</a:t>
          </a:r>
          <a:r>
            <a:rPr kumimoji="1" lang="ja-JP" altLang="en-US" sz="1100" b="1">
              <a:solidFill>
                <a:sysClr val="windowText" lastClr="000000"/>
              </a:solidFill>
              <a:effectLst/>
              <a:latin typeface="+mn-lt"/>
              <a:ea typeface="+mn-ea"/>
              <a:cs typeface="+mn-cs"/>
            </a:rPr>
            <a:t>日をもって廃止。</a:t>
          </a:r>
          <a:endParaRPr kumimoji="1" lang="en-US" altLang="ja-JP" sz="1100" b="1">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79374</xdr:colOff>
      <xdr:row>1</xdr:row>
      <xdr:rowOff>111124</xdr:rowOff>
    </xdr:from>
    <xdr:to>
      <xdr:col>10</xdr:col>
      <xdr:colOff>547796</xdr:colOff>
      <xdr:row>56</xdr:row>
      <xdr:rowOff>15875</xdr:rowOff>
    </xdr:to>
    <xdr:pic>
      <xdr:nvPicPr>
        <xdr:cNvPr id="3" name="図 2">
          <a:extLst>
            <a:ext uri="{FF2B5EF4-FFF2-40B4-BE49-F238E27FC236}">
              <a16:creationId xmlns:a16="http://schemas.microsoft.com/office/drawing/2014/main" id="{65E9201D-C7F5-946E-CE7B-FFE2068AC725}"/>
            </a:ext>
          </a:extLst>
        </xdr:cNvPr>
        <xdr:cNvPicPr>
          <a:picLocks noChangeAspect="1"/>
        </xdr:cNvPicPr>
      </xdr:nvPicPr>
      <xdr:blipFill>
        <a:blip xmlns:r="http://schemas.openxmlformats.org/officeDocument/2006/relationships" r:embed="rId1"/>
        <a:stretch>
          <a:fillRect/>
        </a:stretch>
      </xdr:blipFill>
      <xdr:spPr>
        <a:xfrm>
          <a:off x="79374" y="285749"/>
          <a:ext cx="7294672" cy="9509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tabSelected="1" view="pageBreakPreview" zoomScale="70" zoomScaleNormal="70" zoomScaleSheetLayoutView="70" workbookViewId="0">
      <selection activeCell="X4" sqref="X4:AC4"/>
    </sheetView>
  </sheetViews>
  <sheetFormatPr defaultRowHeight="13.5"/>
  <cols>
    <col min="1" max="1" width="0.75" customWidth="1"/>
    <col min="2" max="29" width="3.625" customWidth="1"/>
    <col min="30" max="30" width="4.125" customWidth="1"/>
    <col min="31" max="31" width="7" hidden="1" customWidth="1"/>
    <col min="32" max="32" width="16" hidden="1" customWidth="1"/>
    <col min="33" max="33" width="5.375" hidden="1" customWidth="1"/>
    <col min="34" max="34" width="5.75" hidden="1" customWidth="1"/>
    <col min="35" max="35" width="5.375" hidden="1" customWidth="1"/>
    <col min="36" max="36" width="5.75" hidden="1" customWidth="1"/>
    <col min="37" max="37" width="5.375" hidden="1" customWidth="1"/>
    <col min="38" max="38" width="5.75" hidden="1" customWidth="1"/>
    <col min="39" max="39" width="5.375" hidden="1" customWidth="1"/>
    <col min="40" max="40" width="5.75" hidden="1" customWidth="1"/>
    <col min="41" max="41" width="5.375" hidden="1" customWidth="1"/>
    <col min="42" max="42" width="5.75" hidden="1" customWidth="1"/>
    <col min="43" max="43" width="5.375" hidden="1" customWidth="1"/>
    <col min="44" max="44" width="4.125" hidden="1" customWidth="1"/>
    <col min="45" max="45" width="4.125" customWidth="1"/>
    <col min="46" max="72" width="3.625" customWidth="1"/>
    <col min="86" max="94" width="3.625" customWidth="1"/>
  </cols>
  <sheetData>
    <row r="1" spans="2:43" ht="4.5" customHeight="1"/>
    <row r="2" spans="2:43" ht="30" customHeight="1">
      <c r="B2" s="127" t="s">
        <v>91</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E2" s="99">
        <v>1</v>
      </c>
      <c r="AF2" s="2" t="s">
        <v>271</v>
      </c>
    </row>
    <row r="3" spans="2:43" ht="24.95" customHeight="1">
      <c r="B3" s="128" t="s">
        <v>90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2:43" ht="30" customHeight="1">
      <c r="W4" s="106" t="s">
        <v>278</v>
      </c>
      <c r="X4" s="118"/>
      <c r="Y4" s="119"/>
      <c r="Z4" s="119"/>
      <c r="AA4" s="119"/>
      <c r="AB4" s="119"/>
      <c r="AC4" s="120"/>
      <c r="AF4" s="1" t="s">
        <v>60</v>
      </c>
      <c r="AG4" s="1"/>
      <c r="AH4" s="1"/>
      <c r="AI4" s="1"/>
      <c r="AJ4" s="1"/>
      <c r="AK4" s="1"/>
      <c r="AL4" s="1"/>
      <c r="AM4" s="1"/>
      <c r="AN4" s="1"/>
    </row>
    <row r="5" spans="2:43" ht="30" customHeight="1" thickBot="1">
      <c r="B5" s="4" t="s">
        <v>24</v>
      </c>
      <c r="AE5" s="30"/>
      <c r="AF5" s="186" t="s">
        <v>268</v>
      </c>
      <c r="AG5" s="186"/>
      <c r="AH5" s="186" t="s">
        <v>269</v>
      </c>
      <c r="AI5" s="186"/>
      <c r="AJ5" s="186" t="s">
        <v>253</v>
      </c>
      <c r="AK5" s="186"/>
      <c r="AL5" s="176" t="s">
        <v>76</v>
      </c>
      <c r="AM5" s="177"/>
      <c r="AN5" s="176" t="s">
        <v>77</v>
      </c>
      <c r="AO5" s="177"/>
      <c r="AP5" s="176" t="s">
        <v>78</v>
      </c>
      <c r="AQ5" s="177"/>
    </row>
    <row r="6" spans="2:43" s="2" customFormat="1" ht="30" customHeight="1">
      <c r="B6" s="136" t="s">
        <v>25</v>
      </c>
      <c r="C6" s="137"/>
      <c r="D6" s="137"/>
      <c r="E6" s="137"/>
      <c r="F6" s="137"/>
      <c r="G6" s="137"/>
      <c r="H6" s="137"/>
      <c r="I6" s="138"/>
      <c r="J6" s="78"/>
      <c r="K6" s="139"/>
      <c r="L6" s="139"/>
      <c r="M6" s="139"/>
      <c r="N6" s="139"/>
      <c r="O6" s="139"/>
      <c r="P6" s="139"/>
      <c r="Q6" s="139"/>
      <c r="R6" s="139"/>
      <c r="S6" s="139"/>
      <c r="T6" s="139"/>
      <c r="U6" s="139"/>
      <c r="V6" s="139"/>
      <c r="W6" s="139"/>
      <c r="X6" s="139"/>
      <c r="Y6" s="139"/>
      <c r="Z6" s="139"/>
      <c r="AA6" s="139"/>
      <c r="AB6" s="139"/>
      <c r="AC6" s="140"/>
      <c r="AE6" s="30"/>
      <c r="AF6" s="57" t="s">
        <v>252</v>
      </c>
      <c r="AG6" s="57" t="s">
        <v>251</v>
      </c>
      <c r="AH6" s="57" t="s">
        <v>252</v>
      </c>
      <c r="AI6" s="57" t="s">
        <v>251</v>
      </c>
      <c r="AJ6" s="57" t="s">
        <v>252</v>
      </c>
      <c r="AK6" s="57" t="s">
        <v>251</v>
      </c>
      <c r="AL6" s="57" t="s">
        <v>252</v>
      </c>
      <c r="AM6" s="57" t="s">
        <v>251</v>
      </c>
      <c r="AN6" s="57" t="s">
        <v>252</v>
      </c>
      <c r="AO6" s="57" t="s">
        <v>251</v>
      </c>
      <c r="AP6" s="57" t="s">
        <v>252</v>
      </c>
      <c r="AQ6" s="57" t="s">
        <v>251</v>
      </c>
    </row>
    <row r="7" spans="2:43" s="2" customFormat="1" ht="30" customHeight="1">
      <c r="B7" s="141" t="s">
        <v>26</v>
      </c>
      <c r="C7" s="142"/>
      <c r="D7" s="142"/>
      <c r="E7" s="142"/>
      <c r="F7" s="142"/>
      <c r="G7" s="142"/>
      <c r="H7" s="142"/>
      <c r="I7" s="143"/>
      <c r="J7" s="80"/>
      <c r="K7" s="144"/>
      <c r="L7" s="144"/>
      <c r="M7" s="144"/>
      <c r="N7" s="144"/>
      <c r="O7" s="144"/>
      <c r="P7" s="144"/>
      <c r="Q7" s="144"/>
      <c r="R7" s="144"/>
      <c r="S7" s="144"/>
      <c r="T7" s="144"/>
      <c r="U7" s="144"/>
      <c r="V7" s="144"/>
      <c r="W7" s="145"/>
      <c r="X7" s="146" t="s">
        <v>28</v>
      </c>
      <c r="Y7" s="147"/>
      <c r="Z7" s="147"/>
      <c r="AA7" s="148"/>
      <c r="AB7" s="148"/>
      <c r="AC7" s="149"/>
      <c r="AE7" s="86" t="s">
        <v>92</v>
      </c>
      <c r="AF7" s="86">
        <v>0.2</v>
      </c>
      <c r="AG7" s="86" t="s">
        <v>270</v>
      </c>
      <c r="AH7" s="86">
        <v>0.28000000000000003</v>
      </c>
      <c r="AI7" s="86" t="s">
        <v>270</v>
      </c>
      <c r="AJ7" s="88">
        <v>0.4</v>
      </c>
      <c r="AK7" s="84" t="s">
        <v>79</v>
      </c>
      <c r="AL7" s="85">
        <v>0.46</v>
      </c>
      <c r="AM7" s="84" t="s">
        <v>79</v>
      </c>
      <c r="AN7" s="85">
        <v>0.54</v>
      </c>
      <c r="AO7" s="84" t="s">
        <v>79</v>
      </c>
      <c r="AP7" s="85">
        <v>0.72</v>
      </c>
      <c r="AQ7" s="84" t="s">
        <v>79</v>
      </c>
    </row>
    <row r="8" spans="2:43" s="2" customFormat="1" ht="30" customHeight="1" thickBot="1">
      <c r="B8" s="180" t="s">
        <v>27</v>
      </c>
      <c r="C8" s="181"/>
      <c r="D8" s="181"/>
      <c r="E8" s="181"/>
      <c r="F8" s="181"/>
      <c r="G8" s="181"/>
      <c r="H8" s="181"/>
      <c r="I8" s="182"/>
      <c r="J8" s="79"/>
      <c r="K8" s="16"/>
      <c r="L8" s="16"/>
      <c r="M8" s="187" t="s">
        <v>29</v>
      </c>
      <c r="N8" s="187"/>
      <c r="O8" s="188"/>
      <c r="P8" s="188"/>
      <c r="Q8" s="16" t="s">
        <v>2</v>
      </c>
      <c r="R8" s="187" t="s">
        <v>30</v>
      </c>
      <c r="S8" s="187"/>
      <c r="T8" s="188"/>
      <c r="U8" s="188"/>
      <c r="V8" s="16" t="s">
        <v>2</v>
      </c>
      <c r="W8" s="16"/>
      <c r="X8" s="16"/>
      <c r="Y8" s="16"/>
      <c r="Z8" s="16"/>
      <c r="AA8" s="16"/>
      <c r="AB8" s="16"/>
      <c r="AC8" s="17"/>
      <c r="AE8" s="86" t="s">
        <v>93</v>
      </c>
      <c r="AF8" s="86">
        <v>0.2</v>
      </c>
      <c r="AG8" s="86" t="s">
        <v>270</v>
      </c>
      <c r="AH8" s="86">
        <v>0.28000000000000003</v>
      </c>
      <c r="AI8" s="86" t="s">
        <v>79</v>
      </c>
      <c r="AJ8" s="88">
        <v>0.4</v>
      </c>
      <c r="AK8" s="84" t="s">
        <v>79</v>
      </c>
      <c r="AL8" s="85">
        <v>0.46</v>
      </c>
      <c r="AM8" s="84" t="s">
        <v>79</v>
      </c>
      <c r="AN8" s="85">
        <v>0.54</v>
      </c>
      <c r="AO8" s="84" t="s">
        <v>79</v>
      </c>
      <c r="AP8" s="85">
        <v>0.72</v>
      </c>
      <c r="AQ8" s="84" t="s">
        <v>79</v>
      </c>
    </row>
    <row r="9" spans="2:43" s="2" customFormat="1" ht="30" customHeight="1">
      <c r="AE9" s="86" t="s">
        <v>94</v>
      </c>
      <c r="AF9" s="86">
        <v>0.2</v>
      </c>
      <c r="AG9" s="86" t="s">
        <v>270</v>
      </c>
      <c r="AH9" s="86">
        <v>0.28000000000000003</v>
      </c>
      <c r="AI9" s="86" t="s">
        <v>270</v>
      </c>
      <c r="AJ9" s="88">
        <v>0.5</v>
      </c>
      <c r="AK9" s="84" t="s">
        <v>79</v>
      </c>
      <c r="AL9" s="85">
        <v>0.56000000000000005</v>
      </c>
      <c r="AM9" s="84" t="s">
        <v>79</v>
      </c>
      <c r="AN9" s="85">
        <v>1.04</v>
      </c>
      <c r="AO9" s="84" t="s">
        <v>79</v>
      </c>
      <c r="AP9" s="85">
        <v>1.21</v>
      </c>
      <c r="AQ9" s="84" t="s">
        <v>79</v>
      </c>
    </row>
    <row r="10" spans="2:43" s="2" customFormat="1" ht="30" customHeight="1" thickBot="1">
      <c r="B10" s="4" t="s">
        <v>31</v>
      </c>
      <c r="AE10" s="86" t="s">
        <v>95</v>
      </c>
      <c r="AF10" s="86">
        <v>0.23</v>
      </c>
      <c r="AG10" s="86" t="s">
        <v>270</v>
      </c>
      <c r="AH10" s="86">
        <v>0.34</v>
      </c>
      <c r="AI10" s="86" t="s">
        <v>270</v>
      </c>
      <c r="AJ10" s="88">
        <v>0.6</v>
      </c>
      <c r="AK10" s="84" t="s">
        <v>79</v>
      </c>
      <c r="AL10" s="85">
        <v>0.75</v>
      </c>
      <c r="AM10" s="84" t="s">
        <v>79</v>
      </c>
      <c r="AN10" s="85">
        <v>1.25</v>
      </c>
      <c r="AO10" s="84" t="s">
        <v>79</v>
      </c>
      <c r="AP10" s="85">
        <v>1.47</v>
      </c>
      <c r="AQ10" s="84" t="s">
        <v>79</v>
      </c>
    </row>
    <row r="11" spans="2:43" s="2" customFormat="1" ht="30" customHeight="1">
      <c r="B11" s="129" t="s">
        <v>137</v>
      </c>
      <c r="C11" s="130"/>
      <c r="D11" s="130"/>
      <c r="E11" s="130"/>
      <c r="F11" s="130"/>
      <c r="G11" s="130"/>
      <c r="H11" s="130"/>
      <c r="I11" s="131"/>
      <c r="J11" s="132">
        <f>ROUND('Ａ（北）'!L43+'Ａ（北東）'!L43+'Ａ（東）'!L43+'Ａ（南東）'!L43+'Ａ（南）'!L43+'Ａ（南西）'!L43+'Ａ（西）'!L43+'Ａ（北西）'!L43+'Ｂ（屋根・床等）'!P32+'Ｃ（基礎）'!H15+'Ｃ（基礎）'!H45,2)</f>
        <v>0</v>
      </c>
      <c r="K11" s="133"/>
      <c r="L11" s="133"/>
      <c r="M11" s="134" t="s">
        <v>22</v>
      </c>
      <c r="N11" s="135"/>
      <c r="O11" s="129" t="s">
        <v>88</v>
      </c>
      <c r="P11" s="130"/>
      <c r="Q11" s="130"/>
      <c r="R11" s="130"/>
      <c r="S11" s="130"/>
      <c r="T11" s="130"/>
      <c r="U11" s="130"/>
      <c r="V11" s="130"/>
      <c r="W11" s="131"/>
      <c r="X11" s="121">
        <f>IF(AG24=0,0,ROUNDUP((AH24),1))</f>
        <v>0</v>
      </c>
      <c r="Y11" s="122"/>
      <c r="Z11" s="122"/>
      <c r="AA11" s="122"/>
      <c r="AB11" s="122"/>
      <c r="AC11" s="123"/>
      <c r="AE11" s="86" t="s">
        <v>96</v>
      </c>
      <c r="AF11" s="86">
        <v>0.26</v>
      </c>
      <c r="AG11" s="86">
        <v>3</v>
      </c>
      <c r="AH11" s="86">
        <v>0.46</v>
      </c>
      <c r="AI11" s="86">
        <v>3</v>
      </c>
      <c r="AJ11" s="88">
        <v>0.6</v>
      </c>
      <c r="AK11" s="84">
        <v>3</v>
      </c>
      <c r="AL11" s="85">
        <v>0.87</v>
      </c>
      <c r="AM11" s="84">
        <v>3</v>
      </c>
      <c r="AN11" s="85">
        <v>1.54</v>
      </c>
      <c r="AO11" s="84">
        <v>4</v>
      </c>
      <c r="AP11" s="85">
        <v>1.67</v>
      </c>
      <c r="AQ11" s="84" t="s">
        <v>79</v>
      </c>
    </row>
    <row r="12" spans="2:43" s="2" customFormat="1" ht="30" customHeight="1" thickBot="1">
      <c r="B12" s="180" t="s">
        <v>87</v>
      </c>
      <c r="C12" s="181"/>
      <c r="D12" s="181"/>
      <c r="E12" s="181"/>
      <c r="F12" s="181"/>
      <c r="G12" s="181"/>
      <c r="H12" s="181"/>
      <c r="I12" s="182"/>
      <c r="J12" s="183">
        <f>IF(AG23=0,0,ROUNDUP(AH23,2))</f>
        <v>0</v>
      </c>
      <c r="K12" s="183"/>
      <c r="L12" s="183"/>
      <c r="M12" s="184" t="s">
        <v>32</v>
      </c>
      <c r="N12" s="185"/>
      <c r="O12" s="180" t="s">
        <v>89</v>
      </c>
      <c r="P12" s="181"/>
      <c r="Q12" s="181"/>
      <c r="R12" s="181"/>
      <c r="S12" s="181"/>
      <c r="T12" s="181"/>
      <c r="U12" s="181"/>
      <c r="V12" s="181"/>
      <c r="W12" s="182"/>
      <c r="X12" s="124" t="str">
        <f>IF(AA7="８地域","-",IF(AG25=0,"0",ROUNDDOWN((AG25/J11)*100,1)))</f>
        <v>0</v>
      </c>
      <c r="Y12" s="125"/>
      <c r="Z12" s="125"/>
      <c r="AA12" s="125"/>
      <c r="AB12" s="125"/>
      <c r="AC12" s="126"/>
      <c r="AE12" s="86" t="s">
        <v>97</v>
      </c>
      <c r="AF12" s="86">
        <v>0.26</v>
      </c>
      <c r="AG12" s="86">
        <v>2.8</v>
      </c>
      <c r="AH12" s="86">
        <v>0.46</v>
      </c>
      <c r="AI12" s="86">
        <v>2.8</v>
      </c>
      <c r="AJ12" s="88">
        <v>0.6</v>
      </c>
      <c r="AK12" s="84">
        <v>2.8</v>
      </c>
      <c r="AL12" s="85">
        <v>0.87</v>
      </c>
      <c r="AM12" s="84">
        <v>2.8</v>
      </c>
      <c r="AN12" s="85">
        <v>1.54</v>
      </c>
      <c r="AO12" s="84">
        <v>3.8</v>
      </c>
      <c r="AP12" s="85">
        <v>1.67</v>
      </c>
      <c r="AQ12" s="84" t="s">
        <v>79</v>
      </c>
    </row>
    <row r="13" spans="2:43" s="2" customFormat="1" ht="30" customHeight="1">
      <c r="J13" s="31"/>
      <c r="K13" s="31"/>
      <c r="L13" s="31"/>
      <c r="M13" s="90"/>
      <c r="N13" s="89"/>
      <c r="AE13" s="86" t="s">
        <v>98</v>
      </c>
      <c r="AF13" s="86">
        <v>0.26</v>
      </c>
      <c r="AG13" s="86">
        <v>2.7</v>
      </c>
      <c r="AH13" s="86">
        <v>0.46</v>
      </c>
      <c r="AI13" s="86">
        <v>2.7</v>
      </c>
      <c r="AJ13" s="88">
        <v>0.6</v>
      </c>
      <c r="AK13" s="84">
        <v>2.7</v>
      </c>
      <c r="AL13" s="85">
        <v>0.87</v>
      </c>
      <c r="AM13" s="84">
        <v>2.7</v>
      </c>
      <c r="AN13" s="85">
        <v>1.81</v>
      </c>
      <c r="AO13" s="84">
        <v>4</v>
      </c>
      <c r="AP13" s="85">
        <v>2.35</v>
      </c>
      <c r="AQ13" s="84" t="s">
        <v>79</v>
      </c>
    </row>
    <row r="14" spans="2:43" s="2" customFormat="1" ht="30" customHeight="1">
      <c r="Z14" s="14"/>
      <c r="AA14" s="15"/>
      <c r="AB14" s="15"/>
      <c r="AC14" s="87"/>
      <c r="AE14" s="86" t="s">
        <v>99</v>
      </c>
      <c r="AF14" s="86" t="s">
        <v>270</v>
      </c>
      <c r="AG14" s="86" t="s">
        <v>270</v>
      </c>
      <c r="AH14" s="86" t="s">
        <v>270</v>
      </c>
      <c r="AI14" s="86">
        <v>5.0999999999999996</v>
      </c>
      <c r="AJ14" s="85" t="s">
        <v>79</v>
      </c>
      <c r="AK14" s="84">
        <v>6.7</v>
      </c>
      <c r="AL14" s="85" t="s">
        <v>79</v>
      </c>
      <c r="AM14" s="84">
        <v>6.7</v>
      </c>
      <c r="AN14" s="85" t="s">
        <v>79</v>
      </c>
      <c r="AO14" s="85" t="s">
        <v>79</v>
      </c>
      <c r="AP14" s="85" t="s">
        <v>79</v>
      </c>
      <c r="AQ14" s="84" t="s">
        <v>79</v>
      </c>
    </row>
    <row r="15" spans="2:43" s="2" customFormat="1" ht="30" customHeight="1" thickBot="1">
      <c r="B15" s="4" t="s">
        <v>61</v>
      </c>
      <c r="AE15" s="1"/>
      <c r="AF15" s="1"/>
      <c r="AG15" s="1"/>
      <c r="AH15" s="1"/>
      <c r="AI15" s="1"/>
      <c r="AJ15" s="1"/>
      <c r="AK15" s="1"/>
      <c r="AL15" s="1"/>
      <c r="AM15" s="1"/>
    </row>
    <row r="16" spans="2:43" s="2" customFormat="1" ht="30" customHeight="1" thickBot="1">
      <c r="B16" s="171"/>
      <c r="C16" s="172"/>
      <c r="D16" s="172"/>
      <c r="E16" s="172"/>
      <c r="F16" s="172"/>
      <c r="G16" s="172"/>
      <c r="H16" s="172"/>
      <c r="I16" s="173"/>
      <c r="J16" s="174" t="s">
        <v>62</v>
      </c>
      <c r="K16" s="175"/>
      <c r="L16" s="175"/>
      <c r="M16" s="175"/>
      <c r="N16" s="175"/>
      <c r="O16" s="175" t="s">
        <v>63</v>
      </c>
      <c r="P16" s="175"/>
      <c r="Q16" s="175"/>
      <c r="R16" s="175"/>
      <c r="S16" s="175"/>
      <c r="T16" s="195" t="s">
        <v>64</v>
      </c>
      <c r="U16" s="195"/>
      <c r="V16" s="195"/>
      <c r="W16" s="195"/>
      <c r="X16" s="196"/>
      <c r="Z16" s="95"/>
      <c r="AA16" s="178" t="s">
        <v>272</v>
      </c>
      <c r="AB16" s="178"/>
      <c r="AC16" s="179"/>
      <c r="AF16" s="1" t="s">
        <v>249</v>
      </c>
    </row>
    <row r="17" spans="2:43" s="2" customFormat="1" ht="30" customHeight="1">
      <c r="B17" s="136" t="s">
        <v>138</v>
      </c>
      <c r="C17" s="137"/>
      <c r="D17" s="137"/>
      <c r="E17" s="137"/>
      <c r="F17" s="137"/>
      <c r="G17" s="137"/>
      <c r="H17" s="137"/>
      <c r="I17" s="137"/>
      <c r="J17" s="169">
        <f>J12</f>
        <v>0</v>
      </c>
      <c r="K17" s="170"/>
      <c r="L17" s="170"/>
      <c r="M17" s="189" t="s">
        <v>32</v>
      </c>
      <c r="N17" s="190"/>
      <c r="O17" s="191" t="str">
        <f>IF(AA7&lt;&gt;"",VLOOKUP(AA7,AE7:AQ14,2+(AF17-1)*2,FALSE),"-")</f>
        <v>-</v>
      </c>
      <c r="P17" s="192"/>
      <c r="Q17" s="192"/>
      <c r="R17" s="189" t="s">
        <v>32</v>
      </c>
      <c r="S17" s="190"/>
      <c r="T17" s="193" t="str">
        <f>IF(O17="-","-",(IF(O17&gt;=AH23,"適合","不適合")))</f>
        <v>-</v>
      </c>
      <c r="U17" s="193"/>
      <c r="V17" s="193"/>
      <c r="W17" s="193"/>
      <c r="X17" s="194"/>
      <c r="Z17" s="97"/>
      <c r="AA17" s="154" t="s">
        <v>296</v>
      </c>
      <c r="AB17" s="155"/>
      <c r="AC17" s="156"/>
      <c r="AF17" s="83">
        <v>4</v>
      </c>
    </row>
    <row r="18" spans="2:43" s="2" customFormat="1" ht="30" customHeight="1" thickBot="1">
      <c r="B18" s="157" t="s">
        <v>139</v>
      </c>
      <c r="C18" s="158"/>
      <c r="D18" s="158"/>
      <c r="E18" s="158"/>
      <c r="F18" s="158"/>
      <c r="G18" s="158"/>
      <c r="H18" s="158"/>
      <c r="I18" s="158"/>
      <c r="J18" s="159">
        <f>X11</f>
        <v>0</v>
      </c>
      <c r="K18" s="160"/>
      <c r="L18" s="160"/>
      <c r="M18" s="161"/>
      <c r="N18" s="162"/>
      <c r="O18" s="163" t="str">
        <f>IF(AA7&lt;&gt;"",VLOOKUP(AA7,AE7:AQ14,3+(AF17-1)*2,FALSE),"-")</f>
        <v>-</v>
      </c>
      <c r="P18" s="164"/>
      <c r="Q18" s="164"/>
      <c r="R18" s="161"/>
      <c r="S18" s="162"/>
      <c r="T18" s="165" t="str">
        <f>IF(O18="-","-",(IF(O18&gt;=AH24,"適合","不適合")))</f>
        <v>-</v>
      </c>
      <c r="U18" s="165"/>
      <c r="V18" s="165"/>
      <c r="W18" s="165"/>
      <c r="X18" s="166"/>
      <c r="Z18" s="97"/>
      <c r="AA18" s="155" t="s">
        <v>250</v>
      </c>
      <c r="AB18" s="155"/>
      <c r="AC18" s="156"/>
      <c r="AE18" s="1"/>
      <c r="AF18" s="1"/>
    </row>
    <row r="19" spans="2:43" s="2" customFormat="1" ht="30" customHeight="1">
      <c r="Z19" s="96"/>
      <c r="AA19" s="154" t="s">
        <v>295</v>
      </c>
      <c r="AB19" s="155"/>
      <c r="AC19" s="156"/>
      <c r="AE19" s="82"/>
    </row>
    <row r="20" spans="2:43" s="2" customFormat="1" ht="30" customHeight="1">
      <c r="Z20" s="96"/>
      <c r="AA20" s="167" t="s">
        <v>277</v>
      </c>
      <c r="AB20" s="167"/>
      <c r="AC20" s="168"/>
      <c r="AE20" s="82"/>
      <c r="AF20" s="102"/>
      <c r="AG20" s="103"/>
      <c r="AH20" s="102"/>
      <c r="AI20" s="103"/>
      <c r="AJ20" s="102"/>
      <c r="AK20" s="103"/>
      <c r="AL20" s="102"/>
      <c r="AM20" s="30"/>
      <c r="AN20" s="102"/>
      <c r="AO20" s="30"/>
      <c r="AP20" s="102"/>
      <c r="AQ20" s="30"/>
    </row>
    <row r="21" spans="2:43" s="2" customFormat="1" ht="30" customHeight="1" thickBot="1">
      <c r="Z21" s="98"/>
      <c r="AA21" s="150" t="s">
        <v>80</v>
      </c>
      <c r="AB21" s="150"/>
      <c r="AC21" s="151"/>
      <c r="AE21" s="82"/>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6" t="s">
        <v>258</v>
      </c>
      <c r="AB23" s="11"/>
      <c r="AF23" s="57" t="s">
        <v>248</v>
      </c>
      <c r="AG23" s="81">
        <f>'Ａ（北）'!W46+'Ａ（北東）'!W46+'Ａ（東）'!W46+'Ａ（南東）'!W46+'Ａ（南）'!W46+'Ａ（南西）'!W46+'Ａ（西）'!W46+'Ａ（北西）'!W46+'Ｂ（屋根・床等）'!W35+'Ｃ（基礎）'!Q30+'Ｃ（基礎）'!W45</f>
        <v>0</v>
      </c>
      <c r="AH23" s="1">
        <f>IF(AG23=0,0,AG23/J11)</f>
        <v>0</v>
      </c>
      <c r="AI23" s="1"/>
    </row>
    <row r="24" spans="2:43" s="2" customFormat="1" ht="30" customHeight="1">
      <c r="C24" s="6" t="s">
        <v>102</v>
      </c>
      <c r="AB24" s="11"/>
      <c r="AF24" s="57" t="s">
        <v>247</v>
      </c>
      <c r="AG24" s="81">
        <f>'Ａ（北）'!W44+'Ａ（北東）'!W44+'Ａ（東）'!W44+'Ａ（南東）'!W44+'Ａ（南）'!W44+'Ａ（南西）'!W44+'Ａ（西）'!W44+'Ａ（北西）'!W44+'Ｂ（屋根・床等）'!W33+'Ｃ（基礎）'!Q45</f>
        <v>0</v>
      </c>
      <c r="AH24" s="1">
        <f>IF(AG24=0,0,(AG24/J11)*100)</f>
        <v>0</v>
      </c>
    </row>
    <row r="25" spans="2:43" s="2" customFormat="1" ht="30" customHeight="1">
      <c r="C25" s="6" t="s">
        <v>103</v>
      </c>
      <c r="G25" s="152" t="s">
        <v>52</v>
      </c>
      <c r="H25" s="153"/>
      <c r="I25" s="6" t="s">
        <v>51</v>
      </c>
      <c r="AB25" s="11"/>
      <c r="AF25" s="57" t="s">
        <v>246</v>
      </c>
      <c r="AG25" s="81">
        <f>'Ａ（北）'!W45+'Ａ（北東）'!W45+'Ａ（東）'!W45+'Ａ（南東）'!W45+'Ａ（南）'!W45+'Ａ（南西）'!W45+'Ａ（西）'!W45+'Ａ（北西）'!W45+'Ｂ（屋根・床等）'!W34+'Ｃ（基礎）'!T45</f>
        <v>0</v>
      </c>
    </row>
    <row r="26" spans="2:43" s="2" customFormat="1" ht="30" customHeight="1">
      <c r="C26" s="6" t="s">
        <v>104</v>
      </c>
      <c r="G26" s="19"/>
      <c r="H26" s="19"/>
      <c r="AB26" s="11"/>
      <c r="AF26"/>
      <c r="AI26" s="1"/>
    </row>
    <row r="27" spans="2:43" s="2" customFormat="1" ht="30" customHeight="1">
      <c r="C27" s="6" t="s">
        <v>105</v>
      </c>
      <c r="AB27" s="11"/>
      <c r="AF27"/>
    </row>
    <row r="28" spans="2:43" s="2" customFormat="1" ht="30" customHeight="1">
      <c r="C28" s="12" t="s">
        <v>100</v>
      </c>
      <c r="D28" s="5"/>
      <c r="E28" s="5"/>
      <c r="F28" s="5"/>
      <c r="G28" s="5"/>
      <c r="H28" s="5"/>
      <c r="I28" s="5"/>
      <c r="J28" s="5"/>
      <c r="K28" s="5"/>
      <c r="L28" s="5"/>
      <c r="M28" s="5"/>
      <c r="N28" s="5"/>
      <c r="O28" s="5"/>
      <c r="P28" s="5"/>
      <c r="Q28" s="5"/>
      <c r="R28" s="5"/>
      <c r="S28" s="5"/>
      <c r="T28" s="5"/>
      <c r="U28" s="5"/>
      <c r="V28" s="5"/>
      <c r="W28" s="5"/>
      <c r="X28" s="5"/>
      <c r="Y28" s="5"/>
      <c r="Z28" s="5"/>
      <c r="AA28" s="5"/>
      <c r="AB28" s="13"/>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algorithmName="SHA-512" hashValue="PdiC0rCfad2yEaK8aOtzgeFBQJ6UUMTz2NIxcUdhWpRyNcNdFSVQ2W+RF5egVTMgpB2zvxutlLjBZTUgzey5ew==" saltValue="50l/E6sh5oFQjYscFBSy2g==" spinCount="100000" sheet="1" selectLockedCells="1"/>
  <mergeCells count="53">
    <mergeCell ref="AN5:AO5"/>
    <mergeCell ref="AP5:AQ5"/>
    <mergeCell ref="M17:N17"/>
    <mergeCell ref="O17:Q17"/>
    <mergeCell ref="R17:S17"/>
    <mergeCell ref="AA17:AC17"/>
    <mergeCell ref="T17:X17"/>
    <mergeCell ref="O16:S16"/>
    <mergeCell ref="T16:X16"/>
    <mergeCell ref="AF5:AG5"/>
    <mergeCell ref="T8:U8"/>
    <mergeCell ref="B17:I17"/>
    <mergeCell ref="J17:L17"/>
    <mergeCell ref="B16:I16"/>
    <mergeCell ref="J16:N16"/>
    <mergeCell ref="AL5:AM5"/>
    <mergeCell ref="AA16:AC16"/>
    <mergeCell ref="B12:I12"/>
    <mergeCell ref="J12:L12"/>
    <mergeCell ref="M12:N12"/>
    <mergeCell ref="O12:W12"/>
    <mergeCell ref="AJ5:AK5"/>
    <mergeCell ref="AH5:AI5"/>
    <mergeCell ref="B8:I8"/>
    <mergeCell ref="M8:N8"/>
    <mergeCell ref="O8:P8"/>
    <mergeCell ref="R8:S8"/>
    <mergeCell ref="AA21:AC21"/>
    <mergeCell ref="G25:H25"/>
    <mergeCell ref="AA19:AC19"/>
    <mergeCell ref="B18:I18"/>
    <mergeCell ref="J18:L18"/>
    <mergeCell ref="M18:N18"/>
    <mergeCell ref="O18:Q18"/>
    <mergeCell ref="R18:S18"/>
    <mergeCell ref="T18:X18"/>
    <mergeCell ref="AA20:AC20"/>
    <mergeCell ref="AA18:AC18"/>
    <mergeCell ref="X4:AC4"/>
    <mergeCell ref="X11:AC11"/>
    <mergeCell ref="X12:AC12"/>
    <mergeCell ref="B2:AC2"/>
    <mergeCell ref="B3:AC3"/>
    <mergeCell ref="B11:I11"/>
    <mergeCell ref="J11:L11"/>
    <mergeCell ref="M11:N11"/>
    <mergeCell ref="O11:W11"/>
    <mergeCell ref="B6:I6"/>
    <mergeCell ref="K6:AC6"/>
    <mergeCell ref="B7:I7"/>
    <mergeCell ref="K7:W7"/>
    <mergeCell ref="X7:Z7"/>
    <mergeCell ref="AA7:AC7"/>
  </mergeCells>
  <phoneticPr fontId="4"/>
  <conditionalFormatting sqref="J11:L12">
    <cfRule type="expression" dxfId="139" priority="6">
      <formula>$AE$2&lt;&gt;2</formula>
    </cfRule>
  </conditionalFormatting>
  <conditionalFormatting sqref="J17:L18">
    <cfRule type="expression" dxfId="138" priority="4">
      <formula>$AE$2&lt;&gt;2</formula>
    </cfRule>
  </conditionalFormatting>
  <conditionalFormatting sqref="K7:W7">
    <cfRule type="expression" dxfId="137" priority="20" stopIfTrue="1">
      <formula>$AE$2&lt;&gt;2</formula>
    </cfRule>
  </conditionalFormatting>
  <conditionalFormatting sqref="K6:AC6">
    <cfRule type="expression" dxfId="136" priority="33" stopIfTrue="1">
      <formula>$AE$2&lt;&gt;2</formula>
    </cfRule>
  </conditionalFormatting>
  <conditionalFormatting sqref="O8:P8">
    <cfRule type="expression" dxfId="135" priority="15" stopIfTrue="1">
      <formula>$AE$2&lt;&gt;2</formula>
    </cfRule>
  </conditionalFormatting>
  <conditionalFormatting sqref="O17:Q18">
    <cfRule type="expression" dxfId="134" priority="3">
      <formula>$AE$2&lt;&gt;2</formula>
    </cfRule>
  </conditionalFormatting>
  <conditionalFormatting sqref="T8:U8">
    <cfRule type="expression" dxfId="133" priority="13" stopIfTrue="1">
      <formula>$AE$2&lt;&gt;2</formula>
    </cfRule>
  </conditionalFormatting>
  <conditionalFormatting sqref="T17:X18">
    <cfRule type="expression" dxfId="132" priority="2">
      <formula>$AE$2&lt;&gt;2</formula>
    </cfRule>
  </conditionalFormatting>
  <conditionalFormatting sqref="X11:X12">
    <cfRule type="expression" dxfId="131" priority="5">
      <formula>$AE$2&lt;&gt;2</formula>
    </cfRule>
  </conditionalFormatting>
  <conditionalFormatting sqref="X4:AC4">
    <cfRule type="expression" dxfId="130" priority="1">
      <formula>$AE$2&lt;&gt;2</formula>
    </cfRule>
  </conditionalFormatting>
  <conditionalFormatting sqref="Z16:Z21">
    <cfRule type="expression" dxfId="129" priority="7" stopIfTrue="1">
      <formula>$AE$2&lt;&gt;2</formula>
    </cfRule>
  </conditionalFormatting>
  <conditionalFormatting sqref="AA7:AC7">
    <cfRule type="expression" dxfId="128" priority="17" stopIfTrue="1">
      <formula>$AE$2&lt;&gt;2</formula>
    </cfRule>
  </conditionalFormatting>
  <conditionalFormatting sqref="AE7:AQ14">
    <cfRule type="expression" dxfId="127" priority="165">
      <formula>$AA$7=$AE7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colBreaks count="1" manualBreakCount="1">
    <brk id="29" min="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25</xdr:col>
                    <xdr:colOff>28575</xdr:colOff>
                    <xdr:row>15</xdr:row>
                    <xdr:rowOff>104775</xdr:rowOff>
                  </from>
                  <to>
                    <xdr:col>25</xdr:col>
                    <xdr:colOff>257175</xdr:colOff>
                    <xdr:row>15</xdr:row>
                    <xdr:rowOff>314325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25</xdr:col>
                    <xdr:colOff>28575</xdr:colOff>
                    <xdr:row>16</xdr:row>
                    <xdr:rowOff>104775</xdr:rowOff>
                  </from>
                  <to>
                    <xdr:col>25</xdr:col>
                    <xdr:colOff>257175</xdr:colOff>
                    <xdr:row>16</xdr:row>
                    <xdr:rowOff>314325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25</xdr:col>
                    <xdr:colOff>28575</xdr:colOff>
                    <xdr:row>17</xdr:row>
                    <xdr:rowOff>104775</xdr:rowOff>
                  </from>
                  <to>
                    <xdr:col>25</xdr:col>
                    <xdr:colOff>257175</xdr:colOff>
                    <xdr:row>17</xdr:row>
                    <xdr:rowOff>314325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25</xdr:col>
                    <xdr:colOff>28575</xdr:colOff>
                    <xdr:row>18</xdr:row>
                    <xdr:rowOff>104775</xdr:rowOff>
                  </from>
                  <to>
                    <xdr:col>25</xdr:col>
                    <xdr:colOff>257175</xdr:colOff>
                    <xdr:row>18</xdr:row>
                    <xdr:rowOff>314325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25</xdr:col>
                    <xdr:colOff>28575</xdr:colOff>
                    <xdr:row>19</xdr:row>
                    <xdr:rowOff>104775</xdr:rowOff>
                  </from>
                  <to>
                    <xdr:col>25</xdr:col>
                    <xdr:colOff>257175</xdr:colOff>
                    <xdr:row>19</xdr:row>
                    <xdr:rowOff>314325</xdr:rowOff>
                  </to>
                </anchor>
              </controlPr>
            </control>
          </mc:Choice>
        </mc:AlternateContent>
        <mc:AlternateContent xmlns:mc="http://schemas.openxmlformats.org/markup-compatibility/2006">
          <mc:Choice Requires="x14">
            <control shapeId="132102" r:id="rId9" name="Option Button 1">
              <controlPr defaultSize="0" autoFill="0" autoLine="0" autoPict="0">
                <anchor moveWithCells="1">
                  <from>
                    <xdr:col>25</xdr:col>
                    <xdr:colOff>28575</xdr:colOff>
                    <xdr:row>20</xdr:row>
                    <xdr:rowOff>104775</xdr:rowOff>
                  </from>
                  <to>
                    <xdr:col>25</xdr:col>
                    <xdr:colOff>257175</xdr:colOff>
                    <xdr:row>20</xdr:row>
                    <xdr:rowOff>314325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295275</xdr:colOff>
                    <xdr:row>20</xdr:row>
                    <xdr:rowOff>0</xdr:rowOff>
                  </from>
                  <to>
                    <xdr:col>69</xdr:col>
                    <xdr:colOff>152400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238125</xdr:colOff>
                    <xdr:row>21</xdr:row>
                    <xdr:rowOff>352425</xdr:rowOff>
                  </from>
                  <to>
                    <xdr:col>47</xdr:col>
                    <xdr:colOff>247650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57</xdr:col>
                    <xdr:colOff>57150</xdr:colOff>
                    <xdr:row>22</xdr:row>
                    <xdr:rowOff>47625</xdr:rowOff>
                  </from>
                  <to>
                    <xdr:col>58</xdr:col>
                    <xdr:colOff>104775</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228600</xdr:colOff>
                    <xdr:row>21</xdr:row>
                    <xdr:rowOff>247650</xdr:rowOff>
                  </from>
                  <to>
                    <xdr:col>59</xdr:col>
                    <xdr:colOff>133350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view="pageBreakPreview" topLeftCell="A25" zoomScale="85" zoomScaleNormal="100" zoomScaleSheetLayoutView="85" workbookViewId="0">
      <selection activeCell="B16" sqref="B16:C16"/>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172</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366"/>
      <c r="X4" s="365"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0">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1">IF(D9="","",AD9)</f>
        <v/>
      </c>
      <c r="W9" s="217"/>
      <c r="X9" s="217" t="str">
        <f t="shared" ref="X9:X19" si="2">IF(D9="","",IF(ISERROR(AE9),"-",AE9))</f>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0"/>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1"/>
        <v/>
      </c>
      <c r="W10" s="217"/>
      <c r="X10" s="217" t="str">
        <f t="shared" si="2"/>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0"/>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1"/>
        <v/>
      </c>
      <c r="W11" s="217"/>
      <c r="X11" s="217" t="str">
        <f t="shared" si="2"/>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0"/>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1"/>
        <v/>
      </c>
      <c r="W12" s="216"/>
      <c r="X12" s="215" t="str">
        <f t="shared" si="2"/>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0"/>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1"/>
        <v/>
      </c>
      <c r="W13" s="216"/>
      <c r="X13" s="215" t="str">
        <f t="shared" si="2"/>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0"/>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1"/>
        <v/>
      </c>
      <c r="W14" s="217"/>
      <c r="X14" s="217" t="str">
        <f t="shared" si="2"/>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0"/>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1"/>
        <v/>
      </c>
      <c r="W15" s="216"/>
      <c r="X15" s="217" t="str">
        <f t="shared" si="2"/>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0"/>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1"/>
        <v/>
      </c>
      <c r="W16" s="216"/>
      <c r="X16" s="217" t="str">
        <f t="shared" si="2"/>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0"/>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1"/>
        <v/>
      </c>
      <c r="W17" s="216"/>
      <c r="X17" s="217" t="str">
        <f t="shared" si="2"/>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0"/>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1"/>
        <v/>
      </c>
      <c r="W18" s="216"/>
      <c r="X18" s="217" t="str">
        <f t="shared" si="2"/>
        <v/>
      </c>
      <c r="Y18" s="217"/>
      <c r="Z18" s="217" t="str">
        <f>IF(D18="","",D18*F18*AN18)</f>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0"/>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1"/>
        <v/>
      </c>
      <c r="W19" s="216"/>
      <c r="X19" s="217" t="str">
        <f t="shared" si="2"/>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0"/>
        <v>FALSE</v>
      </c>
    </row>
    <row r="20" spans="2:41" s="2" customFormat="1" ht="21.95" customHeight="1" thickBot="1">
      <c r="B20" s="200" t="s">
        <v>173</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256</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174</v>
      </c>
      <c r="K40" s="201"/>
      <c r="L40" s="201"/>
      <c r="M40" s="201"/>
      <c r="N40" s="201"/>
      <c r="O40" s="201"/>
      <c r="P40" s="201"/>
      <c r="Q40" s="201"/>
      <c r="R40" s="201"/>
      <c r="S40" s="201"/>
      <c r="T40" s="202">
        <f>SUM(T35:U39)</f>
        <v>0</v>
      </c>
      <c r="U40" s="202"/>
      <c r="V40" s="202">
        <f xml:space="preserve">
IF(共通条件・結果!AA7="８地域","-",SUM(V35:W39))</f>
        <v>0</v>
      </c>
      <c r="W40" s="202"/>
      <c r="X40" s="202">
        <f>SUM(X35:Y39)</f>
        <v>0</v>
      </c>
      <c r="Y40" s="203"/>
    </row>
    <row r="41" spans="2:41" s="2" customFormat="1" ht="12">
      <c r="J41" s="47"/>
    </row>
    <row r="42" spans="2:41" s="2" customFormat="1" ht="21.95" customHeight="1" thickBot="1">
      <c r="B42" s="4" t="s">
        <v>175</v>
      </c>
    </row>
    <row r="43" spans="2:41" s="2" customFormat="1" ht="21.95" customHeight="1">
      <c r="B43" s="204" t="s">
        <v>171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3">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89xRWKDXJgE4L3IUGa3WxOQI51TUaT2SWmrjcrL7vN23RdpJDZUjadpy2qjI1oLFRvBoSukbDXi72sZMmqcgag==" saltValue="Fs/o0o/6Hu11LUBcsLkvB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26" priority="155" stopIfTrue="1">
      <formula>$AE$2&lt;&gt;2</formula>
    </cfRule>
  </conditionalFormatting>
  <conditionalFormatting sqref="J35:O39">
    <cfRule type="expression" dxfId="125" priority="81" stopIfTrue="1">
      <formula>$AE$2&lt;&gt;2</formula>
    </cfRule>
  </conditionalFormatting>
  <conditionalFormatting sqref="J26:U28">
    <cfRule type="expression" dxfId="124" priority="119" stopIfTrue="1">
      <formula>$AE$2&lt;&gt;2</formula>
    </cfRule>
  </conditionalFormatting>
  <conditionalFormatting sqref="L43:N43">
    <cfRule type="expression" dxfId="123" priority="7">
      <formula>$AE$2&lt;&gt;2</formula>
    </cfRule>
  </conditionalFormatting>
  <conditionalFormatting sqref="P35:Q39">
    <cfRule type="expression" dxfId="122" priority="14">
      <formula>$AE$2&lt;&gt;2</formula>
    </cfRule>
  </conditionalFormatting>
  <conditionalFormatting sqref="Q43:R43">
    <cfRule type="expression" dxfId="121" priority="6">
      <formula>$AE$2&lt;&gt;2</formula>
    </cfRule>
  </conditionalFormatting>
  <conditionalFormatting sqref="R35:S39">
    <cfRule type="expression" dxfId="120" priority="79" stopIfTrue="1">
      <formula>$AE$2&lt;&gt;2</formula>
    </cfRule>
  </conditionalFormatting>
  <conditionalFormatting sqref="T35:Y40">
    <cfRule type="expression" dxfId="119" priority="8">
      <formula>$AE$2&lt;&gt;2</formula>
    </cfRule>
  </conditionalFormatting>
  <conditionalFormatting sqref="U43:V43">
    <cfRule type="expression" dxfId="118" priority="5">
      <formula>$AE$2&lt;&gt;2</formula>
    </cfRule>
  </conditionalFormatting>
  <conditionalFormatting sqref="V8:AA19">
    <cfRule type="expression" dxfId="117" priority="43">
      <formula>$AE$2&lt;&gt;2</formula>
    </cfRule>
  </conditionalFormatting>
  <conditionalFormatting sqref="V26:AA29">
    <cfRule type="expression" dxfId="116" priority="31">
      <formula>$AE$2&lt;&gt;2</formula>
    </cfRule>
  </conditionalFormatting>
  <conditionalFormatting sqref="W44:Y46">
    <cfRule type="expression" dxfId="115" priority="1">
      <formula>$AE$2&lt;&gt;2</formula>
    </cfRule>
  </conditionalFormatting>
  <conditionalFormatting sqref="Y43:Z43">
    <cfRule type="expression" dxfId="114" priority="4">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view="pageBreakPreview" zoomScale="85" zoomScaleNormal="100" zoomScaleSheetLayoutView="85" workbookViewId="0">
      <selection activeCell="B14" sqref="B14:C14"/>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176</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366"/>
      <c r="X4" s="365"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t="s">
        <v>44</v>
      </c>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9" t="b">
        <f t="shared" ref="AO8:AO19" si="1">IF(L8="","FALSE",IF(L8="雨戸",0.1,IF(L8="ｼｬｯﾀｰ",0.1,IF(L8="障子",0.18,IF(L8="風除室",0.1)))))</f>
        <v>0</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177</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75</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69</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178</v>
      </c>
    </row>
    <row r="43" spans="2:41" s="2" customFormat="1" ht="21.95" customHeight="1">
      <c r="B43" s="204" t="s">
        <v>179</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01AFahY2r2mqYHJpFSpSu3Y8X5DCjmFuY3Fzsj+yLI1oZFRB5Ykg0r2lPvyBsBhkLAxrQAEhIHMKSEbQrZtSYw==" saltValue="WbJ9QtRX4LppagXB0kfrB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13" priority="155" stopIfTrue="1">
      <formula>$AE$2&lt;&gt;2</formula>
    </cfRule>
  </conditionalFormatting>
  <conditionalFormatting sqref="J35:O39">
    <cfRule type="expression" dxfId="112" priority="81" stopIfTrue="1">
      <formula>$AE$2&lt;&gt;2</formula>
    </cfRule>
  </conditionalFormatting>
  <conditionalFormatting sqref="J26:U28">
    <cfRule type="expression" dxfId="111" priority="119" stopIfTrue="1">
      <formula>$AE$2&lt;&gt;2</formula>
    </cfRule>
  </conditionalFormatting>
  <conditionalFormatting sqref="L43:N43">
    <cfRule type="expression" dxfId="110" priority="7">
      <formula>$AE$2&lt;&gt;2</formula>
    </cfRule>
  </conditionalFormatting>
  <conditionalFormatting sqref="P35:Q39">
    <cfRule type="expression" dxfId="109" priority="14">
      <formula>$AE$2&lt;&gt;2</formula>
    </cfRule>
  </conditionalFormatting>
  <conditionalFormatting sqref="Q43:R43">
    <cfRule type="expression" dxfId="108" priority="6">
      <formula>$AE$2&lt;&gt;2</formula>
    </cfRule>
  </conditionalFormatting>
  <conditionalFormatting sqref="R35:S39">
    <cfRule type="expression" dxfId="107" priority="79" stopIfTrue="1">
      <formula>$AE$2&lt;&gt;2</formula>
    </cfRule>
  </conditionalFormatting>
  <conditionalFormatting sqref="T35:Y40">
    <cfRule type="expression" dxfId="106" priority="8">
      <formula>$AE$2&lt;&gt;2</formula>
    </cfRule>
  </conditionalFormatting>
  <conditionalFormatting sqref="U43:V43">
    <cfRule type="expression" dxfId="105" priority="5">
      <formula>$AE$2&lt;&gt;2</formula>
    </cfRule>
  </conditionalFormatting>
  <conditionalFormatting sqref="V8:AA19">
    <cfRule type="expression" dxfId="104" priority="43">
      <formula>$AE$2&lt;&gt;2</formula>
    </cfRule>
  </conditionalFormatting>
  <conditionalFormatting sqref="V26:AA29">
    <cfRule type="expression" dxfId="103" priority="31">
      <formula>$AE$2&lt;&gt;2</formula>
    </cfRule>
  </conditionalFormatting>
  <conditionalFormatting sqref="W44:Y46">
    <cfRule type="expression" dxfId="102" priority="1">
      <formula>$AE$2&lt;&gt;2</formula>
    </cfRule>
  </conditionalFormatting>
  <conditionalFormatting sqref="Y43:Z43">
    <cfRule type="expression" dxfId="101" priority="4">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view="pageBreakPreview" zoomScale="85" zoomScaleNormal="100" zoomScaleSheetLayoutView="85" workbookViewId="0">
      <selection activeCell="B15" sqref="B15:C15"/>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68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366"/>
      <c r="X4" s="365"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70</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71</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72</v>
      </c>
    </row>
    <row r="43" spans="2:41" s="2" customFormat="1" ht="21.95" customHeight="1">
      <c r="B43" s="204" t="s">
        <v>67</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Kg/xpm2r849S6iCp1BOix2bLV2i4OV+0ra/k6YptRrV8/LZexF3KDLJ16s2gJ/ja8rIriHkgBADhrNDOaOBDpA==" saltValue="svRH5PF/eHFZOFz/VqbmZ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00" priority="155" stopIfTrue="1">
      <formula>$AE$2&lt;&gt;2</formula>
    </cfRule>
  </conditionalFormatting>
  <conditionalFormatting sqref="J35:O39">
    <cfRule type="expression" dxfId="99" priority="81" stopIfTrue="1">
      <formula>$AE$2&lt;&gt;2</formula>
    </cfRule>
  </conditionalFormatting>
  <conditionalFormatting sqref="J26:U28">
    <cfRule type="expression" dxfId="98" priority="119" stopIfTrue="1">
      <formula>$AE$2&lt;&gt;2</formula>
    </cfRule>
  </conditionalFormatting>
  <conditionalFormatting sqref="L43:N43">
    <cfRule type="expression" dxfId="97" priority="7">
      <formula>$AE$2&lt;&gt;2</formula>
    </cfRule>
  </conditionalFormatting>
  <conditionalFormatting sqref="P35:Q39">
    <cfRule type="expression" dxfId="96" priority="14">
      <formula>$AE$2&lt;&gt;2</formula>
    </cfRule>
  </conditionalFormatting>
  <conditionalFormatting sqref="Q43:R43">
    <cfRule type="expression" dxfId="95" priority="6">
      <formula>$AE$2&lt;&gt;2</formula>
    </cfRule>
  </conditionalFormatting>
  <conditionalFormatting sqref="R35:S39">
    <cfRule type="expression" dxfId="94" priority="79" stopIfTrue="1">
      <formula>$AE$2&lt;&gt;2</formula>
    </cfRule>
  </conditionalFormatting>
  <conditionalFormatting sqref="T35:Y40">
    <cfRule type="expression" dxfId="93" priority="8">
      <formula>$AE$2&lt;&gt;2</formula>
    </cfRule>
  </conditionalFormatting>
  <conditionalFormatting sqref="U43:V43">
    <cfRule type="expression" dxfId="92" priority="5">
      <formula>$AE$2&lt;&gt;2</formula>
    </cfRule>
  </conditionalFormatting>
  <conditionalFormatting sqref="V8:AA19">
    <cfRule type="expression" dxfId="91" priority="43">
      <formula>$AE$2&lt;&gt;2</formula>
    </cfRule>
  </conditionalFormatting>
  <conditionalFormatting sqref="V26:AA29">
    <cfRule type="expression" dxfId="90" priority="31">
      <formula>$AE$2&lt;&gt;2</formula>
    </cfRule>
  </conditionalFormatting>
  <conditionalFormatting sqref="W44:Y46">
    <cfRule type="expression" dxfId="89" priority="1">
      <formula>$AE$2&lt;&gt;2</formula>
    </cfRule>
  </conditionalFormatting>
  <conditionalFormatting sqref="Y43:Z43">
    <cfRule type="expression" dxfId="88" priority="4">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view="pageBreakPreview" zoomScale="85" zoomScaleNormal="100" zoomScaleSheetLayoutView="85" workbookViewId="0">
      <selection activeCell="B11" sqref="B11:C11"/>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366"/>
      <c r="X4" s="365"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206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207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209</v>
      </c>
    </row>
    <row r="43" spans="2:41" s="2" customFormat="1" ht="21.95" customHeight="1">
      <c r="B43" s="204" t="s">
        <v>180</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ewhGNU5u0UIapjSDUOPXt2YreCWt9INmfg8ClPBPBXG1O1QM7qhWfwsCmwB+eSXzEh9IYzK5YPf1sAJ8jMlYew==" saltValue="k+Db67eCNkGLLUc3YxVKU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87" priority="155" stopIfTrue="1">
      <formula>$AE$2&lt;&gt;2</formula>
    </cfRule>
  </conditionalFormatting>
  <conditionalFormatting sqref="J35:O39">
    <cfRule type="expression" dxfId="86" priority="81" stopIfTrue="1">
      <formula>$AE$2&lt;&gt;2</formula>
    </cfRule>
  </conditionalFormatting>
  <conditionalFormatting sqref="J26:U28">
    <cfRule type="expression" dxfId="85" priority="119" stopIfTrue="1">
      <formula>$AE$2&lt;&gt;2</formula>
    </cfRule>
  </conditionalFormatting>
  <conditionalFormatting sqref="L43:N43">
    <cfRule type="expression" dxfId="84" priority="7">
      <formula>$AE$2&lt;&gt;2</formula>
    </cfRule>
  </conditionalFormatting>
  <conditionalFormatting sqref="P35:Q39">
    <cfRule type="expression" dxfId="83" priority="14">
      <formula>$AE$2&lt;&gt;2</formula>
    </cfRule>
  </conditionalFormatting>
  <conditionalFormatting sqref="Q43:R43">
    <cfRule type="expression" dxfId="82" priority="6">
      <formula>$AE$2&lt;&gt;2</formula>
    </cfRule>
  </conditionalFormatting>
  <conditionalFormatting sqref="R35:S39">
    <cfRule type="expression" dxfId="81" priority="79" stopIfTrue="1">
      <formula>$AE$2&lt;&gt;2</formula>
    </cfRule>
  </conditionalFormatting>
  <conditionalFormatting sqref="T35:Y40">
    <cfRule type="expression" dxfId="80" priority="8">
      <formula>$AE$2&lt;&gt;2</formula>
    </cfRule>
  </conditionalFormatting>
  <conditionalFormatting sqref="U43:V43">
    <cfRule type="expression" dxfId="79" priority="5">
      <formula>$AE$2&lt;&gt;2</formula>
    </cfRule>
  </conditionalFormatting>
  <conditionalFormatting sqref="V8:AA19">
    <cfRule type="expression" dxfId="78" priority="43">
      <formula>$AE$2&lt;&gt;2</formula>
    </cfRule>
  </conditionalFormatting>
  <conditionalFormatting sqref="V26:AA29">
    <cfRule type="expression" dxfId="77" priority="31">
      <formula>$AE$2&lt;&gt;2</formula>
    </cfRule>
  </conditionalFormatting>
  <conditionalFormatting sqref="W44:Y46">
    <cfRule type="expression" dxfId="76" priority="1">
      <formula>$AE$2&lt;&gt;2</formula>
    </cfRule>
  </conditionalFormatting>
  <conditionalFormatting sqref="Y43:Z43">
    <cfRule type="expression" dxfId="75" priority="4">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view="pageBreakPreview" topLeftCell="A19" zoomScale="85" zoomScaleNormal="100" zoomScaleSheetLayoutView="85" workbookViewId="0">
      <selection activeCell="B10" sqref="B10:C10"/>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366"/>
      <c r="X4" s="365"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IF(共通条件・結果!$AA$7="８地域",0.01*(16+19*(2*R11+T11)/P11),0.01*(24+9*(3*R11+T11)/P11))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IF(共通条件・結果!$AA$7="８地域",0.01*(16+19*(2*R12+T12)/P12),0.01*(24+9*(3*R12+T12)/P12))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IF(共通条件・結果!$AA$7="８地域",0.01*(16+19*(2*R13+T13)/P13),0.01*(24+9*(3*R13+T13)/P13))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IF(共通条件・結果!$AA$7="８地域",0.01*(16+19*(2*R14+T14)/P14),0.01*(24+9*(3*R14+T14)/P14))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IF(共通条件・結果!$AA$7="８地域",0.01*(16+19*(2*R15+T15)/P15),0.01*(24+9*(3*R15+T15)/P15))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IF(共通条件・結果!$AA$7="８地域",0.01*(16+19*(2*R16+T16)/P16),0.01*(24+9*(3*R16+T16)/P16))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IF(共通条件・結果!$AA$7="８地域",0.01*(16+19*(2*R17+T17)/P17),0.01*(24+9*(3*R17+T17)/P17))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IF(共通条件・結果!$AA$7="８地域",0.01*(16+19*(2*R18+T18)/P18),0.01*(24+9*(3*R18+T18)/P18))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IF(共通条件・結果!$AA$7="８地域",0.01*(16+19*(2*R19+T19)/P19),0.01*(24+9*(3*R19+T19)/P19))</f>
        <v>#DIV/0!</v>
      </c>
      <c r="AL19" s="2" t="e">
        <f t="shared" si="8"/>
        <v>#DIV/0!</v>
      </c>
      <c r="AN19" s="2">
        <f t="shared" si="9"/>
        <v>0</v>
      </c>
      <c r="AO19" s="19" t="str">
        <f t="shared" si="1"/>
        <v>FALSE</v>
      </c>
    </row>
    <row r="20" spans="2:41" s="2" customFormat="1" ht="21.95" customHeight="1" thickBot="1">
      <c r="B20" s="200" t="s">
        <v>201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202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204</v>
      </c>
    </row>
    <row r="43" spans="2:41" s="2" customFormat="1" ht="21.95" customHeight="1">
      <c r="B43" s="204" t="s">
        <v>181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mSpArZcR2REOUTORR2eS9m6ml5Olp+kiymHMxBUHR8KvXS5GwN+SiiQP3mDX3FO8nXWDoPCM8a7yYCbTAc9iVg==" saltValue="eUSS70ldQCBwzK/hnOHV9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74" priority="155" stopIfTrue="1">
      <formula>$AE$2&lt;&gt;2</formula>
    </cfRule>
  </conditionalFormatting>
  <conditionalFormatting sqref="J35:O39">
    <cfRule type="expression" dxfId="73" priority="81" stopIfTrue="1">
      <formula>$AE$2&lt;&gt;2</formula>
    </cfRule>
  </conditionalFormatting>
  <conditionalFormatting sqref="J26:U28">
    <cfRule type="expression" dxfId="72" priority="119" stopIfTrue="1">
      <formula>$AE$2&lt;&gt;2</formula>
    </cfRule>
  </conditionalFormatting>
  <conditionalFormatting sqref="L43:N43">
    <cfRule type="expression" dxfId="71" priority="7">
      <formula>$AE$2&lt;&gt;2</formula>
    </cfRule>
  </conditionalFormatting>
  <conditionalFormatting sqref="P35:Q39">
    <cfRule type="expression" dxfId="70" priority="14">
      <formula>$AE$2&lt;&gt;2</formula>
    </cfRule>
  </conditionalFormatting>
  <conditionalFormatting sqref="Q43:R43">
    <cfRule type="expression" dxfId="69" priority="6">
      <formula>$AE$2&lt;&gt;2</formula>
    </cfRule>
  </conditionalFormatting>
  <conditionalFormatting sqref="R35:S39">
    <cfRule type="expression" dxfId="68" priority="79" stopIfTrue="1">
      <formula>$AE$2&lt;&gt;2</formula>
    </cfRule>
  </conditionalFormatting>
  <conditionalFormatting sqref="T35:Y40">
    <cfRule type="expression" dxfId="67" priority="8">
      <formula>$AE$2&lt;&gt;2</formula>
    </cfRule>
  </conditionalFormatting>
  <conditionalFormatting sqref="U43:V43">
    <cfRule type="expression" dxfId="66" priority="5">
      <formula>$AE$2&lt;&gt;2</formula>
    </cfRule>
  </conditionalFormatting>
  <conditionalFormatting sqref="V8:AA19">
    <cfRule type="expression" dxfId="65" priority="43">
      <formula>$AE$2&lt;&gt;2</formula>
    </cfRule>
  </conditionalFormatting>
  <conditionalFormatting sqref="V26:AA29">
    <cfRule type="expression" dxfId="64" priority="31">
      <formula>$AE$2&lt;&gt;2</formula>
    </cfRule>
  </conditionalFormatting>
  <conditionalFormatting sqref="W44:Y46">
    <cfRule type="expression" dxfId="63" priority="1">
      <formula>$AE$2&lt;&gt;2</formula>
    </cfRule>
  </conditionalFormatting>
  <conditionalFormatting sqref="Y43:Z43">
    <cfRule type="expression" dxfId="62" priority="4">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view="pageBreakPreview" zoomScale="85" zoomScaleNormal="100" zoomScaleSheetLayoutView="85" workbookViewId="0">
      <selection activeCell="B12" sqref="B12:C12"/>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366"/>
      <c r="X4" s="365"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196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198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199</v>
      </c>
    </row>
    <row r="43" spans="2:41" s="2" customFormat="1" ht="21.95" customHeight="1">
      <c r="B43" s="204" t="s">
        <v>182</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Jn7YinlJyFDHI+iv1dWovBRMaCXSqKQQpNMqG4wWbUXlD2fTxneYDNo1wEnptgip7xcUrSUzICW7rLaRZUFVNw==" saltValue="H+phrDV2MtNwwSEsBmVhW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61" priority="155" stopIfTrue="1">
      <formula>$AE$2&lt;&gt;2</formula>
    </cfRule>
  </conditionalFormatting>
  <conditionalFormatting sqref="J35:O39">
    <cfRule type="expression" dxfId="60" priority="81" stopIfTrue="1">
      <formula>$AE$2&lt;&gt;2</formula>
    </cfRule>
  </conditionalFormatting>
  <conditionalFormatting sqref="J26:U28">
    <cfRule type="expression" dxfId="59" priority="119" stopIfTrue="1">
      <formula>$AE$2&lt;&gt;2</formula>
    </cfRule>
  </conditionalFormatting>
  <conditionalFormatting sqref="L43:N43">
    <cfRule type="expression" dxfId="58" priority="7">
      <formula>$AE$2&lt;&gt;2</formula>
    </cfRule>
  </conditionalFormatting>
  <conditionalFormatting sqref="P35:Q39">
    <cfRule type="expression" dxfId="57" priority="14">
      <formula>$AE$2&lt;&gt;2</formula>
    </cfRule>
  </conditionalFormatting>
  <conditionalFormatting sqref="Q43:R43">
    <cfRule type="expression" dxfId="56" priority="6">
      <formula>$AE$2&lt;&gt;2</formula>
    </cfRule>
  </conditionalFormatting>
  <conditionalFormatting sqref="R35:S39">
    <cfRule type="expression" dxfId="55" priority="79" stopIfTrue="1">
      <formula>$AE$2&lt;&gt;2</formula>
    </cfRule>
  </conditionalFormatting>
  <conditionalFormatting sqref="T35:Y40">
    <cfRule type="expression" dxfId="54" priority="8">
      <formula>$AE$2&lt;&gt;2</formula>
    </cfRule>
  </conditionalFormatting>
  <conditionalFormatting sqref="U43:V43">
    <cfRule type="expression" dxfId="53" priority="5">
      <formula>$AE$2&lt;&gt;2</formula>
    </cfRule>
  </conditionalFormatting>
  <conditionalFormatting sqref="V8:AA19">
    <cfRule type="expression" dxfId="52" priority="43">
      <formula>$AE$2&lt;&gt;2</formula>
    </cfRule>
  </conditionalFormatting>
  <conditionalFormatting sqref="V26:AA29">
    <cfRule type="expression" dxfId="51" priority="31">
      <formula>$AE$2&lt;&gt;2</formula>
    </cfRule>
  </conditionalFormatting>
  <conditionalFormatting sqref="W44:Y46">
    <cfRule type="expression" dxfId="50" priority="1">
      <formula>$AE$2&lt;&gt;2</formula>
    </cfRule>
  </conditionalFormatting>
  <conditionalFormatting sqref="Y43:Z43">
    <cfRule type="expression" dxfId="49" priority="4">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view="pageBreakPreview" zoomScale="85" zoomScaleNormal="100" zoomScaleSheetLayoutView="85" workbookViewId="0">
      <selection activeCell="B9" sqref="B9:C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366"/>
      <c r="X4" s="365"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191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193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194</v>
      </c>
    </row>
    <row r="43" spans="2:41" s="2" customFormat="1" ht="21.95" customHeight="1">
      <c r="B43" s="204" t="s">
        <v>183</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xs+ywefIQLafJ0t5NkyXsCNLt7qoG/7D9yeNgN1G2yP3uDv+UaVcp+PC3C8RcBBXiXD0hXpoC8jyWUDlKlNUiQ==" saltValue="UH6KDh/LS9gr6V6XsTDFk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48" priority="155" stopIfTrue="1">
      <formula>$AE$2&lt;&gt;2</formula>
    </cfRule>
  </conditionalFormatting>
  <conditionalFormatting sqref="J35:O39">
    <cfRule type="expression" dxfId="47" priority="81" stopIfTrue="1">
      <formula>$AE$2&lt;&gt;2</formula>
    </cfRule>
  </conditionalFormatting>
  <conditionalFormatting sqref="J26:U28">
    <cfRule type="expression" dxfId="46" priority="119" stopIfTrue="1">
      <formula>$AE$2&lt;&gt;2</formula>
    </cfRule>
  </conditionalFormatting>
  <conditionalFormatting sqref="L43:N43">
    <cfRule type="expression" dxfId="45" priority="7">
      <formula>$AE$2&lt;&gt;2</formula>
    </cfRule>
  </conditionalFormatting>
  <conditionalFormatting sqref="P35:Q39">
    <cfRule type="expression" dxfId="44" priority="14">
      <formula>$AE$2&lt;&gt;2</formula>
    </cfRule>
  </conditionalFormatting>
  <conditionalFormatting sqref="Q43:R43">
    <cfRule type="expression" dxfId="43" priority="6">
      <formula>$AE$2&lt;&gt;2</formula>
    </cfRule>
  </conditionalFormatting>
  <conditionalFormatting sqref="R35:S39">
    <cfRule type="expression" dxfId="42" priority="79" stopIfTrue="1">
      <formula>$AE$2&lt;&gt;2</formula>
    </cfRule>
  </conditionalFormatting>
  <conditionalFormatting sqref="T35:Y40">
    <cfRule type="expression" dxfId="41" priority="8">
      <formula>$AE$2&lt;&gt;2</formula>
    </cfRule>
  </conditionalFormatting>
  <conditionalFormatting sqref="U43:V43">
    <cfRule type="expression" dxfId="40" priority="5">
      <formula>$AE$2&lt;&gt;2</formula>
    </cfRule>
  </conditionalFormatting>
  <conditionalFormatting sqref="V8:AA19">
    <cfRule type="expression" dxfId="39" priority="43">
      <formula>$AE$2&lt;&gt;2</formula>
    </cfRule>
  </conditionalFormatting>
  <conditionalFormatting sqref="V26:AA29">
    <cfRule type="expression" dxfId="38" priority="31">
      <formula>$AE$2&lt;&gt;2</formula>
    </cfRule>
  </conditionalFormatting>
  <conditionalFormatting sqref="W44:Y46">
    <cfRule type="expression" dxfId="37" priority="1">
      <formula>$AE$2&lt;&gt;2</formula>
    </cfRule>
  </conditionalFormatting>
  <conditionalFormatting sqref="Y43:Z43">
    <cfRule type="expression" dxfId="36" priority="4">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view="pageBreakPreview" topLeftCell="A19" zoomScale="85" zoomScaleNormal="100" zoomScaleSheetLayoutView="85" workbookViewId="0">
      <selection activeCell="B19" sqref="B19:C1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185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1</v>
      </c>
    </row>
    <row r="3" spans="2:41" s="2" customFormat="1" ht="24.95" customHeight="1" thickBot="1">
      <c r="AE3" s="2" t="s">
        <v>271</v>
      </c>
    </row>
    <row r="4" spans="2:41" s="2" customFormat="1" ht="21.95" customHeight="1" thickBot="1">
      <c r="B4" s="4" t="s">
        <v>5</v>
      </c>
      <c r="R4" s="362" t="s">
        <v>33</v>
      </c>
      <c r="S4" s="363"/>
      <c r="T4" s="363"/>
      <c r="U4" s="364"/>
      <c r="V4" s="365"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366"/>
      <c r="X4" s="365"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186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187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188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189</v>
      </c>
    </row>
    <row r="43" spans="2:41" s="2" customFormat="1" ht="21.95" customHeight="1">
      <c r="B43" s="204" t="s">
        <v>184</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SuL90W8rJHTzC7Oos6Gadi8dGlu7yj0j+4vsl7KLZvZDBukvnyDlzhtu+U5Bf97bFL/P3PaxXuHBjFdxEEETHA==" saltValue="YvRoCyZPZi7ooDVKWRQpG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35" priority="155" stopIfTrue="1">
      <formula>$AE$2&lt;&gt;2</formula>
    </cfRule>
  </conditionalFormatting>
  <conditionalFormatting sqref="J35:O39">
    <cfRule type="expression" dxfId="34" priority="81" stopIfTrue="1">
      <formula>$AE$2&lt;&gt;2</formula>
    </cfRule>
  </conditionalFormatting>
  <conditionalFormatting sqref="J26:U28">
    <cfRule type="expression" dxfId="33" priority="119" stopIfTrue="1">
      <formula>$AE$2&lt;&gt;2</formula>
    </cfRule>
  </conditionalFormatting>
  <conditionalFormatting sqref="L43:N43">
    <cfRule type="expression" dxfId="32" priority="7">
      <formula>$AE$2&lt;&gt;2</formula>
    </cfRule>
  </conditionalFormatting>
  <conditionalFormatting sqref="P35:Q39">
    <cfRule type="expression" dxfId="31" priority="14">
      <formula>$AE$2&lt;&gt;2</formula>
    </cfRule>
  </conditionalFormatting>
  <conditionalFormatting sqref="Q43:R43">
    <cfRule type="expression" dxfId="30" priority="6">
      <formula>$AE$2&lt;&gt;2</formula>
    </cfRule>
  </conditionalFormatting>
  <conditionalFormatting sqref="R35:S39">
    <cfRule type="expression" dxfId="29" priority="79" stopIfTrue="1">
      <formula>$AE$2&lt;&gt;2</formula>
    </cfRule>
  </conditionalFormatting>
  <conditionalFormatting sqref="T35:Y40">
    <cfRule type="expression" dxfId="28" priority="8">
      <formula>$AE$2&lt;&gt;2</formula>
    </cfRule>
  </conditionalFormatting>
  <conditionalFormatting sqref="U43:V43">
    <cfRule type="expression" dxfId="27" priority="5">
      <formula>$AE$2&lt;&gt;2</formula>
    </cfRule>
  </conditionalFormatting>
  <conditionalFormatting sqref="V8:AA19">
    <cfRule type="expression" dxfId="26" priority="43">
      <formula>$AE$2&lt;&gt;2</formula>
    </cfRule>
  </conditionalFormatting>
  <conditionalFormatting sqref="V26:AA29">
    <cfRule type="expression" dxfId="25" priority="31">
      <formula>$AE$2&lt;&gt;2</formula>
    </cfRule>
  </conditionalFormatting>
  <conditionalFormatting sqref="W44:Y46">
    <cfRule type="expression" dxfId="24" priority="1">
      <formula>$AE$2&lt;&gt;2</formula>
    </cfRule>
  </conditionalFormatting>
  <conditionalFormatting sqref="Y43:Z43">
    <cfRule type="expression" dxfId="23" priority="4">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view="pageBreakPreview" zoomScale="85" zoomScaleNormal="100" zoomScaleSheetLayoutView="85" workbookViewId="0">
      <selection activeCell="B19" sqref="B19:C19"/>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361" t="s">
        <v>38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26"/>
      <c r="AC2" s="26"/>
      <c r="AE2" s="100">
        <f>共通条件・結果!AE2</f>
        <v>1</v>
      </c>
    </row>
    <row r="3" spans="2:34" ht="20.100000000000001"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E3" s="2" t="s">
        <v>271</v>
      </c>
    </row>
    <row r="4" spans="2:34" ht="20.100000000000001" customHeight="1" thickBot="1">
      <c r="B4" s="4" t="s">
        <v>36</v>
      </c>
      <c r="C4" s="2"/>
      <c r="D4" s="2"/>
      <c r="E4" s="2"/>
      <c r="F4" s="2"/>
      <c r="G4" s="2"/>
      <c r="H4" s="2"/>
      <c r="I4" s="2"/>
      <c r="J4" s="2"/>
      <c r="K4" s="2"/>
      <c r="L4" s="2"/>
      <c r="M4" s="2"/>
      <c r="N4" s="2"/>
      <c r="O4" s="2"/>
      <c r="P4" s="2"/>
      <c r="Q4" s="2"/>
      <c r="R4" s="2"/>
      <c r="S4" s="2"/>
      <c r="T4" s="20"/>
      <c r="U4" s="20"/>
      <c r="V4" s="20"/>
      <c r="W4" s="20"/>
      <c r="X4" s="2"/>
      <c r="Y4" s="2"/>
      <c r="Z4" s="2"/>
      <c r="AA4" s="2"/>
      <c r="AB4" s="2"/>
      <c r="AC4" s="2"/>
    </row>
    <row r="5" spans="2:34" ht="20.100000000000001" customHeight="1">
      <c r="B5" s="367" t="s">
        <v>6</v>
      </c>
      <c r="C5" s="178"/>
      <c r="D5" s="302" t="s">
        <v>140</v>
      </c>
      <c r="E5" s="195"/>
      <c r="F5" s="195"/>
      <c r="G5" s="249"/>
      <c r="H5" s="266" t="s">
        <v>141</v>
      </c>
      <c r="I5" s="178"/>
      <c r="J5" s="266" t="s">
        <v>101</v>
      </c>
      <c r="K5" s="178"/>
      <c r="L5" s="306" t="s">
        <v>9</v>
      </c>
      <c r="M5" s="307"/>
      <c r="N5" s="266" t="s">
        <v>142</v>
      </c>
      <c r="O5" s="178"/>
      <c r="P5" s="266" t="s">
        <v>143</v>
      </c>
      <c r="Q5" s="178"/>
      <c r="R5" s="266" t="s">
        <v>110</v>
      </c>
      <c r="S5" s="179"/>
      <c r="T5" s="21"/>
      <c r="U5" s="20"/>
      <c r="V5" s="20"/>
      <c r="W5" s="20"/>
      <c r="AD5" s="2" t="s">
        <v>57</v>
      </c>
      <c r="AE5" s="2"/>
      <c r="AG5" s="2" t="s">
        <v>12</v>
      </c>
      <c r="AH5" s="2"/>
    </row>
    <row r="6" spans="2:34" ht="20.100000000000001" customHeight="1">
      <c r="B6" s="368"/>
      <c r="C6" s="267"/>
      <c r="D6" s="303"/>
      <c r="E6" s="304"/>
      <c r="F6" s="304"/>
      <c r="G6" s="305"/>
      <c r="H6" s="269"/>
      <c r="I6" s="267"/>
      <c r="J6" s="269"/>
      <c r="K6" s="267"/>
      <c r="L6" s="308"/>
      <c r="M6" s="309"/>
      <c r="N6" s="269"/>
      <c r="O6" s="267"/>
      <c r="P6" s="269"/>
      <c r="Q6" s="267"/>
      <c r="R6" s="267"/>
      <c r="S6" s="272"/>
      <c r="T6" s="21"/>
      <c r="U6" s="20"/>
      <c r="V6" s="20"/>
      <c r="W6" s="20"/>
      <c r="AD6" s="2"/>
      <c r="AE6" s="2"/>
      <c r="AG6" s="2"/>
      <c r="AH6" s="2"/>
    </row>
    <row r="7" spans="2:34" ht="20.100000000000001" customHeight="1" thickBot="1">
      <c r="B7" s="369"/>
      <c r="C7" s="268"/>
      <c r="D7" s="311" t="s">
        <v>8</v>
      </c>
      <c r="E7" s="312"/>
      <c r="F7" s="313" t="s">
        <v>7</v>
      </c>
      <c r="G7" s="268"/>
      <c r="H7" s="268"/>
      <c r="I7" s="268"/>
      <c r="J7" s="268"/>
      <c r="K7" s="268"/>
      <c r="L7" s="310"/>
      <c r="M7" s="310"/>
      <c r="N7" s="268"/>
      <c r="O7" s="268"/>
      <c r="P7" s="268"/>
      <c r="Q7" s="268"/>
      <c r="R7" s="268"/>
      <c r="S7" s="273"/>
      <c r="T7" s="22"/>
      <c r="U7" s="23"/>
      <c r="V7" s="23"/>
      <c r="W7" s="23"/>
      <c r="AD7" s="2" t="s">
        <v>55</v>
      </c>
      <c r="AE7" s="2" t="s">
        <v>53</v>
      </c>
      <c r="AG7" s="2" t="s">
        <v>4</v>
      </c>
      <c r="AH7" s="2" t="s">
        <v>16</v>
      </c>
    </row>
    <row r="8" spans="2:34" ht="20.100000000000001" customHeight="1">
      <c r="B8" s="372"/>
      <c r="C8" s="373"/>
      <c r="D8" s="291"/>
      <c r="E8" s="292"/>
      <c r="F8" s="292"/>
      <c r="G8" s="293"/>
      <c r="H8" s="245"/>
      <c r="I8" s="245"/>
      <c r="J8" s="245"/>
      <c r="K8" s="245"/>
      <c r="L8" s="317" t="s">
        <v>44</v>
      </c>
      <c r="M8" s="317"/>
      <c r="N8" s="226" t="str">
        <f>IF(D8="","",D8*F8*J8*0.93)</f>
        <v/>
      </c>
      <c r="O8" s="226"/>
      <c r="P8" s="246" t="str">
        <f>IF(D8="","",IF(共通条件・結果!$AA$7="８地域","-",D8*F8*J8*0.51))</f>
        <v/>
      </c>
      <c r="Q8" s="246"/>
      <c r="R8" s="226" t="str">
        <f>IF(D8="","",D8*F8*AD8)</f>
        <v/>
      </c>
      <c r="S8" s="229"/>
      <c r="T8" s="27"/>
      <c r="U8" s="2"/>
      <c r="V8" s="2"/>
      <c r="W8" s="2"/>
      <c r="AD8" s="2">
        <f>IF(AE8="FALSE",H8,0.5*H8+0.5*(1/((1/H8)+AE8)))</f>
        <v>0</v>
      </c>
      <c r="AE8" s="19" t="str">
        <f>IF(D8="","FALSE",IF(L8="雨戸",0.1,IF(L8="ｼｬｯﾀｰ",0.1,IF(L8="障子",0.18))))</f>
        <v>FALSE</v>
      </c>
      <c r="AG8" s="2">
        <v>0.93</v>
      </c>
      <c r="AH8" s="2">
        <v>0.51</v>
      </c>
    </row>
    <row r="9" spans="2:34" ht="20.100000000000001" customHeight="1">
      <c r="B9" s="374"/>
      <c r="C9" s="375"/>
      <c r="D9" s="332"/>
      <c r="E9" s="333"/>
      <c r="F9" s="333"/>
      <c r="G9" s="334"/>
      <c r="H9" s="236"/>
      <c r="I9" s="236"/>
      <c r="J9" s="236"/>
      <c r="K9" s="236"/>
      <c r="L9" s="281" t="s">
        <v>44</v>
      </c>
      <c r="M9" s="281"/>
      <c r="N9" s="217" t="str">
        <f>IF(D9="","",D9*F9*J9*0.93)</f>
        <v/>
      </c>
      <c r="O9" s="217"/>
      <c r="P9" s="215" t="str">
        <f>IF(D9="","",IF(共通条件・結果!$AA$7="８地域","-",D9*F9*J9*0.51))</f>
        <v/>
      </c>
      <c r="Q9" s="216"/>
      <c r="R9" s="217" t="str">
        <f>IF(D9="","",D9*F9*AD9)</f>
        <v/>
      </c>
      <c r="S9" s="218"/>
      <c r="T9" s="28"/>
      <c r="U9" s="19"/>
      <c r="V9" s="19"/>
      <c r="W9" s="19"/>
      <c r="AD9" s="2">
        <f t="shared" ref="AD9:AD12" si="0">IF(AE9="FALSE",H9,0.5*H9+0.5*(1/((1/H9)+AE9)))</f>
        <v>0</v>
      </c>
      <c r="AE9" s="19" t="str">
        <f>IF(D9="","FALSE",IF(L9="雨戸",0.1,IF(L9="ｼｬｯﾀｰ",0.1,IF(L9="障子",0.18))))</f>
        <v>FALSE</v>
      </c>
      <c r="AG9" s="2"/>
      <c r="AH9" s="2"/>
    </row>
    <row r="10" spans="2:34" ht="20.100000000000001" customHeight="1">
      <c r="B10" s="374"/>
      <c r="C10" s="375"/>
      <c r="D10" s="332"/>
      <c r="E10" s="333"/>
      <c r="F10" s="333"/>
      <c r="G10" s="334"/>
      <c r="H10" s="236"/>
      <c r="I10" s="236"/>
      <c r="J10" s="236"/>
      <c r="K10" s="236"/>
      <c r="L10" s="281" t="s">
        <v>44</v>
      </c>
      <c r="M10" s="281"/>
      <c r="N10" s="217" t="str">
        <f>IF(D10="","",D10*F10*J10*0.93)</f>
        <v/>
      </c>
      <c r="O10" s="217"/>
      <c r="P10" s="215" t="str">
        <f>IF(D10="","",IF(共通条件・結果!$AA$7="８地域","-",D10*F10*J10*0.51))</f>
        <v/>
      </c>
      <c r="Q10" s="216"/>
      <c r="R10" s="217" t="str">
        <f>IF(D10="","",D10*F10*AD10)</f>
        <v/>
      </c>
      <c r="S10" s="218"/>
      <c r="T10" s="28"/>
      <c r="U10" s="19"/>
      <c r="V10" s="19"/>
      <c r="W10" s="19"/>
      <c r="AD10" s="2">
        <f t="shared" si="0"/>
        <v>0</v>
      </c>
      <c r="AE10" s="19" t="str">
        <f>IF(D10="","FALSE",IF(L10="雨戸",0.1,IF(L10="ｼｬｯﾀｰ",0.1,IF(L10="障子",0.18))))</f>
        <v>FALSE</v>
      </c>
      <c r="AG10" s="2"/>
      <c r="AH10" s="2"/>
    </row>
    <row r="11" spans="2:34" ht="20.100000000000001" customHeight="1">
      <c r="B11" s="374"/>
      <c r="C11" s="375"/>
      <c r="D11" s="332"/>
      <c r="E11" s="333"/>
      <c r="F11" s="333"/>
      <c r="G11" s="334"/>
      <c r="H11" s="236"/>
      <c r="I11" s="236"/>
      <c r="J11" s="236"/>
      <c r="K11" s="236"/>
      <c r="L11" s="281" t="s">
        <v>44</v>
      </c>
      <c r="M11" s="281"/>
      <c r="N11" s="217" t="str">
        <f>IF(D11="","",D11*F11*J11*0.93)</f>
        <v/>
      </c>
      <c r="O11" s="217"/>
      <c r="P11" s="215" t="str">
        <f>IF(D11="","",IF(共通条件・結果!$AA$7="８地域","-",D11*F11*J11*0.51))</f>
        <v/>
      </c>
      <c r="Q11" s="216"/>
      <c r="R11" s="217" t="str">
        <f>IF(D11="","",D11*F11*AD11)</f>
        <v/>
      </c>
      <c r="S11" s="218"/>
      <c r="T11" s="27"/>
      <c r="U11" s="2"/>
      <c r="V11" s="2"/>
      <c r="W11" s="2"/>
      <c r="AD11" s="2">
        <f t="shared" si="0"/>
        <v>0</v>
      </c>
      <c r="AE11" s="19" t="str">
        <f>IF(D11="","FALSE",IF(L11="雨戸",0.1,IF(L11="ｼｬｯﾀｰ",0.1,IF(L11="障子",0.18))))</f>
        <v>FALSE</v>
      </c>
      <c r="AG11" s="2"/>
      <c r="AH11" s="2"/>
    </row>
    <row r="12" spans="2:34" ht="20.100000000000001" customHeight="1" thickBot="1">
      <c r="B12" s="376"/>
      <c r="C12" s="377"/>
      <c r="D12" s="332"/>
      <c r="E12" s="333"/>
      <c r="F12" s="333"/>
      <c r="G12" s="334"/>
      <c r="H12" s="236"/>
      <c r="I12" s="236"/>
      <c r="J12" s="236"/>
      <c r="K12" s="236"/>
      <c r="L12" s="317"/>
      <c r="M12" s="317"/>
      <c r="N12" s="226" t="str">
        <f>IF(D12="","",D12*F12*J12*0.93)</f>
        <v/>
      </c>
      <c r="O12" s="226"/>
      <c r="P12" s="215" t="str">
        <f>IF(D12="","",IF(共通条件・結果!$AA$7="８地域","-",D12*F12*J12*0.51))</f>
        <v/>
      </c>
      <c r="Q12" s="216"/>
      <c r="R12" s="217" t="str">
        <f>IF(D12="","",D12*F12*AD12)</f>
        <v/>
      </c>
      <c r="S12" s="218"/>
      <c r="T12" s="27"/>
      <c r="U12" s="2"/>
      <c r="V12" s="2"/>
      <c r="W12" s="2"/>
      <c r="AD12" s="2">
        <f t="shared" si="0"/>
        <v>0</v>
      </c>
      <c r="AE12" s="19" t="str">
        <f>IF(D12="","FALSE",IF(L12="雨戸",0.1,IF(L12="ｼｬｯﾀｰ",0.1,IF(L12="障子",0.18))))</f>
        <v>FALSE</v>
      </c>
      <c r="AG12" s="2"/>
      <c r="AH12" s="2"/>
    </row>
    <row r="13" spans="2:34" ht="20.100000000000001" customHeight="1" thickBot="1">
      <c r="B13" s="378" t="s">
        <v>74</v>
      </c>
      <c r="C13" s="379"/>
      <c r="D13" s="379"/>
      <c r="E13" s="379"/>
      <c r="F13" s="379"/>
      <c r="G13" s="379"/>
      <c r="H13" s="379"/>
      <c r="I13" s="379"/>
      <c r="J13" s="379"/>
      <c r="K13" s="379"/>
      <c r="L13" s="379"/>
      <c r="M13" s="380"/>
      <c r="N13" s="202">
        <f>SUM(N8:O12)</f>
        <v>0</v>
      </c>
      <c r="O13" s="202"/>
      <c r="P13" s="202">
        <f>IF(共通条件・結果!AA7="８地域","-",SUM(P8:Q12))</f>
        <v>0</v>
      </c>
      <c r="Q13" s="202"/>
      <c r="R13" s="202">
        <f>SUM(R8:S12)</f>
        <v>0</v>
      </c>
      <c r="S13" s="203"/>
      <c r="T13" s="29"/>
      <c r="U13" s="4"/>
      <c r="V13" s="4"/>
      <c r="W13" s="4"/>
      <c r="AD13" s="2"/>
      <c r="AE13" s="19"/>
    </row>
    <row r="14" spans="2:34" ht="20.10000000000000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19"/>
    </row>
    <row r="15" spans="2:34" ht="20.100000000000001" customHeight="1" thickBot="1">
      <c r="B15" s="4" t="s">
        <v>39</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2:34" ht="20.100000000000001" customHeight="1">
      <c r="B16" s="381" t="s">
        <v>0</v>
      </c>
      <c r="C16" s="382"/>
      <c r="D16" s="266" t="s">
        <v>43</v>
      </c>
      <c r="E16" s="178"/>
      <c r="F16" s="266" t="s">
        <v>149</v>
      </c>
      <c r="G16" s="178"/>
      <c r="H16" s="266" t="s">
        <v>147</v>
      </c>
      <c r="I16" s="178"/>
      <c r="J16" s="306" t="s">
        <v>150</v>
      </c>
      <c r="K16" s="307"/>
      <c r="L16" s="254" t="s">
        <v>141</v>
      </c>
      <c r="M16" s="249"/>
      <c r="N16" s="254" t="s">
        <v>59</v>
      </c>
      <c r="O16" s="249"/>
      <c r="P16" s="266" t="s">
        <v>145</v>
      </c>
      <c r="Q16" s="178"/>
      <c r="R16" s="266" t="s">
        <v>143</v>
      </c>
      <c r="S16" s="178"/>
      <c r="T16" s="266" t="s">
        <v>110</v>
      </c>
      <c r="U16" s="179"/>
    </row>
    <row r="17" spans="2:30" ht="20.100000000000001" customHeight="1">
      <c r="B17" s="383"/>
      <c r="C17" s="384"/>
      <c r="D17" s="269"/>
      <c r="E17" s="267"/>
      <c r="F17" s="269"/>
      <c r="G17" s="267"/>
      <c r="H17" s="269"/>
      <c r="I17" s="267"/>
      <c r="J17" s="308"/>
      <c r="K17" s="309"/>
      <c r="L17" s="298"/>
      <c r="M17" s="251"/>
      <c r="N17" s="298"/>
      <c r="O17" s="251"/>
      <c r="P17" s="269"/>
      <c r="Q17" s="267"/>
      <c r="R17" s="269"/>
      <c r="S17" s="267"/>
      <c r="T17" s="267"/>
      <c r="U17" s="272"/>
    </row>
    <row r="18" spans="2:30" ht="20.100000000000001" customHeight="1" thickBot="1">
      <c r="B18" s="385"/>
      <c r="C18" s="386"/>
      <c r="D18" s="268"/>
      <c r="E18" s="268"/>
      <c r="F18" s="268"/>
      <c r="G18" s="268"/>
      <c r="H18" s="268"/>
      <c r="I18" s="268"/>
      <c r="J18" s="310"/>
      <c r="K18" s="310"/>
      <c r="L18" s="300"/>
      <c r="M18" s="253"/>
      <c r="N18" s="300"/>
      <c r="O18" s="253"/>
      <c r="P18" s="268"/>
      <c r="Q18" s="268"/>
      <c r="R18" s="268"/>
      <c r="S18" s="268"/>
      <c r="T18" s="268"/>
      <c r="U18" s="273"/>
      <c r="AD18" s="1"/>
    </row>
    <row r="19" spans="2:30" ht="20.100000000000001" customHeight="1">
      <c r="B19" s="372"/>
      <c r="C19" s="387"/>
      <c r="D19" s="388"/>
      <c r="E19" s="389"/>
      <c r="F19" s="241"/>
      <c r="G19" s="242"/>
      <c r="H19" s="241"/>
      <c r="I19" s="242"/>
      <c r="J19" s="390" t="str">
        <f>IF(F19="","",F19-H19)</f>
        <v/>
      </c>
      <c r="K19" s="391"/>
      <c r="L19" s="388"/>
      <c r="M19" s="389"/>
      <c r="N19" s="394"/>
      <c r="O19" s="395"/>
      <c r="P19" s="392" t="str">
        <f t="shared" ref="P19:P26" si="1">IF($D19="","",IF(OR($D19="外気床",$D19="その他床"),0,IF(OR($D19="屋根",$D19="天井"),J19*L19*0.034)))</f>
        <v/>
      </c>
      <c r="Q19" s="393"/>
      <c r="R19" s="390" t="str">
        <f>IF(D19="","",IF(共通条件・結果!$AA$7="８地域","-",IF($D19="　","",IF(OR($D19="外気床",$D19="その他床"),0,IF(OR($D19="屋根",$D19="天井"),J19*L19*0.034)))))</f>
        <v/>
      </c>
      <c r="S19" s="391"/>
      <c r="T19" s="344" t="str">
        <f t="shared" ref="T19:T26" si="2">IF(F19="","",J19*L19*N19)</f>
        <v/>
      </c>
      <c r="U19" s="371"/>
      <c r="AD19" s="24"/>
    </row>
    <row r="20" spans="2:30" ht="20.100000000000001" customHeight="1">
      <c r="B20" s="374"/>
      <c r="C20" s="396"/>
      <c r="D20" s="232"/>
      <c r="E20" s="233"/>
      <c r="F20" s="232"/>
      <c r="G20" s="233"/>
      <c r="H20" s="232"/>
      <c r="I20" s="233"/>
      <c r="J20" s="215" t="str">
        <f t="shared" ref="J20:J26" si="3">IF(F20="","",F20-H20)</f>
        <v/>
      </c>
      <c r="K20" s="216"/>
      <c r="L20" s="232"/>
      <c r="M20" s="233"/>
      <c r="N20" s="397"/>
      <c r="O20" s="398"/>
      <c r="P20" s="215" t="str">
        <f t="shared" si="1"/>
        <v/>
      </c>
      <c r="Q20" s="216"/>
      <c r="R20" s="215" t="str">
        <f>IF(D20="","",IF(共通条件・結果!$AA$7="８地域","-",IF($D20="　","",IF(OR($D20="外気床",$D20="その他床"),0,IF(OR($D20="屋根",$D20="天井"),J20*L20*0.034)))))</f>
        <v/>
      </c>
      <c r="S20" s="216"/>
      <c r="T20" s="217" t="str">
        <f t="shared" si="2"/>
        <v/>
      </c>
      <c r="U20" s="218"/>
      <c r="AD20" s="24"/>
    </row>
    <row r="21" spans="2:30" ht="20.100000000000001" customHeight="1">
      <c r="B21" s="374"/>
      <c r="C21" s="396"/>
      <c r="D21" s="232"/>
      <c r="E21" s="233"/>
      <c r="F21" s="232"/>
      <c r="G21" s="233"/>
      <c r="H21" s="232"/>
      <c r="I21" s="233"/>
      <c r="J21" s="215" t="str">
        <f t="shared" si="3"/>
        <v/>
      </c>
      <c r="K21" s="216"/>
      <c r="L21" s="232"/>
      <c r="M21" s="233"/>
      <c r="N21" s="397"/>
      <c r="O21" s="398"/>
      <c r="P21" s="215" t="str">
        <f t="shared" si="1"/>
        <v/>
      </c>
      <c r="Q21" s="216"/>
      <c r="R21" s="215" t="str">
        <f>IF(D21="","",IF(共通条件・結果!$AA$7="８地域","-",IF($D21="　","",IF(OR($D21="外気床",$D21="その他床"),0,IF(OR($D21="屋根",$D21="天井"),J21*L21*0.034)))))</f>
        <v/>
      </c>
      <c r="S21" s="216"/>
      <c r="T21" s="217" t="str">
        <f t="shared" si="2"/>
        <v/>
      </c>
      <c r="U21" s="218"/>
      <c r="AD21" s="25"/>
    </row>
    <row r="22" spans="2:30" ht="20.100000000000001" customHeight="1">
      <c r="B22" s="374"/>
      <c r="C22" s="396"/>
      <c r="D22" s="232"/>
      <c r="E22" s="233"/>
      <c r="F22" s="232"/>
      <c r="G22" s="233"/>
      <c r="H22" s="232"/>
      <c r="I22" s="233"/>
      <c r="J22" s="215" t="str">
        <f t="shared" si="3"/>
        <v/>
      </c>
      <c r="K22" s="216"/>
      <c r="L22" s="232"/>
      <c r="M22" s="233"/>
      <c r="N22" s="397"/>
      <c r="O22" s="398"/>
      <c r="P22" s="215" t="str">
        <f t="shared" si="1"/>
        <v/>
      </c>
      <c r="Q22" s="216"/>
      <c r="R22" s="215" t="str">
        <f>IF(D22="","",IF(共通条件・結果!$AA$7="８地域","-",IF($D22="　","",IF(OR($D22="外気床",$D22="その他床"),0,IF(OR($D22="屋根",$D22="天井"),J22*L22*0.034)))))</f>
        <v/>
      </c>
      <c r="S22" s="216"/>
      <c r="T22" s="217" t="str">
        <f t="shared" si="2"/>
        <v/>
      </c>
      <c r="U22" s="218"/>
      <c r="AD22" s="25"/>
    </row>
    <row r="23" spans="2:30" ht="20.100000000000001" customHeight="1">
      <c r="B23" s="374"/>
      <c r="C23" s="396"/>
      <c r="D23" s="232"/>
      <c r="E23" s="233"/>
      <c r="F23" s="232"/>
      <c r="G23" s="233"/>
      <c r="H23" s="232"/>
      <c r="I23" s="233"/>
      <c r="J23" s="215" t="str">
        <f t="shared" si="3"/>
        <v/>
      </c>
      <c r="K23" s="216"/>
      <c r="L23" s="232"/>
      <c r="M23" s="233"/>
      <c r="N23" s="397"/>
      <c r="O23" s="398"/>
      <c r="P23" s="215" t="str">
        <f t="shared" si="1"/>
        <v/>
      </c>
      <c r="Q23" s="216"/>
      <c r="R23" s="215" t="str">
        <f>IF(D23="","",IF(共通条件・結果!$AA$7="８地域","-",IF($D23="　","",IF(OR($D23="外気床",$D23="その他床"),0,IF(OR($D23="屋根",$D23="天井"),J23*L23*0.034)))))</f>
        <v/>
      </c>
      <c r="S23" s="216"/>
      <c r="T23" s="217" t="str">
        <f t="shared" si="2"/>
        <v/>
      </c>
      <c r="U23" s="218"/>
      <c r="AD23" s="25"/>
    </row>
    <row r="24" spans="2:30" ht="20.100000000000001" customHeight="1">
      <c r="B24" s="374"/>
      <c r="C24" s="396"/>
      <c r="D24" s="232"/>
      <c r="E24" s="233"/>
      <c r="F24" s="232"/>
      <c r="G24" s="233"/>
      <c r="H24" s="232"/>
      <c r="I24" s="233"/>
      <c r="J24" s="215" t="str">
        <f t="shared" si="3"/>
        <v/>
      </c>
      <c r="K24" s="216"/>
      <c r="L24" s="232"/>
      <c r="M24" s="233"/>
      <c r="N24" s="397"/>
      <c r="O24" s="398"/>
      <c r="P24" s="215" t="str">
        <f t="shared" si="1"/>
        <v/>
      </c>
      <c r="Q24" s="216"/>
      <c r="R24" s="215" t="str">
        <f>IF(D24="","",IF(共通条件・結果!$AA$7="８地域","-",IF($D24="　","",IF(OR($D24="外気床",$D24="その他床"),0,IF(OR($D24="屋根",$D24="天井"),J24*L24*0.034)))))</f>
        <v/>
      </c>
      <c r="S24" s="216"/>
      <c r="T24" s="217" t="str">
        <f t="shared" si="2"/>
        <v/>
      </c>
      <c r="U24" s="218"/>
      <c r="AD24" s="25"/>
    </row>
    <row r="25" spans="2:30" ht="20.100000000000001" customHeight="1">
      <c r="B25" s="374"/>
      <c r="C25" s="396"/>
      <c r="D25" s="232"/>
      <c r="E25" s="233"/>
      <c r="F25" s="232"/>
      <c r="G25" s="233"/>
      <c r="H25" s="232"/>
      <c r="I25" s="233"/>
      <c r="J25" s="215" t="str">
        <f t="shared" si="3"/>
        <v/>
      </c>
      <c r="K25" s="216"/>
      <c r="L25" s="232"/>
      <c r="M25" s="233"/>
      <c r="N25" s="397"/>
      <c r="O25" s="398"/>
      <c r="P25" s="399" t="str">
        <f t="shared" si="1"/>
        <v/>
      </c>
      <c r="Q25" s="400"/>
      <c r="R25" s="215" t="str">
        <f>IF(D25="","",IF(共通条件・結果!$AA$7="８地域","-",IF($D25="　","",IF(OR($D25="外気床",$D25="その他床"),0,IF(OR($D25="屋根",$D25="天井"),J25*L25*0.034)))))</f>
        <v/>
      </c>
      <c r="S25" s="216"/>
      <c r="T25" s="217" t="str">
        <f t="shared" si="2"/>
        <v/>
      </c>
      <c r="U25" s="218"/>
      <c r="AD25" s="25"/>
    </row>
    <row r="26" spans="2:30" ht="20.100000000000001" customHeight="1" thickBot="1">
      <c r="B26" s="407"/>
      <c r="C26" s="408"/>
      <c r="D26" s="409"/>
      <c r="E26" s="410"/>
      <c r="F26" s="411"/>
      <c r="G26" s="412"/>
      <c r="H26" s="411"/>
      <c r="I26" s="412"/>
      <c r="J26" s="399" t="str">
        <f t="shared" si="3"/>
        <v/>
      </c>
      <c r="K26" s="400"/>
      <c r="L26" s="409"/>
      <c r="M26" s="410"/>
      <c r="N26" s="413"/>
      <c r="O26" s="414"/>
      <c r="P26" s="401" t="str">
        <f t="shared" si="1"/>
        <v/>
      </c>
      <c r="Q26" s="402"/>
      <c r="R26" s="401" t="str">
        <f>IF(D26="","",IF(共通条件・結果!$AA$7="８地域","-",IF($D26="　","",IF(OR($D26="外気床",$D26="その他床"),0,IF(OR($D26="屋根",$D26="天井"),J26*L26*0.034)))))</f>
        <v/>
      </c>
      <c r="S26" s="402"/>
      <c r="T26" s="403" t="str">
        <f t="shared" si="2"/>
        <v/>
      </c>
      <c r="U26" s="404"/>
      <c r="AD26" s="25"/>
    </row>
    <row r="27" spans="2:30" ht="20.100000000000001" customHeight="1" thickBot="1">
      <c r="B27" s="200" t="s">
        <v>73</v>
      </c>
      <c r="C27" s="201"/>
      <c r="D27" s="201"/>
      <c r="E27" s="201"/>
      <c r="F27" s="201"/>
      <c r="G27" s="201"/>
      <c r="H27" s="201"/>
      <c r="I27" s="201"/>
      <c r="J27" s="201"/>
      <c r="K27" s="201"/>
      <c r="L27" s="201"/>
      <c r="M27" s="201"/>
      <c r="N27" s="201"/>
      <c r="O27" s="348"/>
      <c r="P27" s="405">
        <f>SUM(P19:Q26)</f>
        <v>0</v>
      </c>
      <c r="Q27" s="406"/>
      <c r="R27" s="405">
        <f>IF(共通条件・結果!AA7="８地域","-",SUM(R19:S26))</f>
        <v>0</v>
      </c>
      <c r="S27" s="406"/>
      <c r="T27" s="202">
        <f>SUM(T19:U26)</f>
        <v>0</v>
      </c>
      <c r="U27" s="203"/>
    </row>
    <row r="28" spans="2:30" ht="20.100000000000001" customHeight="1">
      <c r="B28" s="2" t="s">
        <v>155</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2:30" ht="20.100000000000001" customHeight="1" thickBot="1">
      <c r="B31" s="4" t="s">
        <v>81</v>
      </c>
      <c r="C31" s="2"/>
      <c r="D31" s="2"/>
      <c r="E31" s="2"/>
      <c r="F31" s="2"/>
      <c r="G31" s="2"/>
      <c r="H31" s="2"/>
      <c r="I31" s="2"/>
      <c r="J31" s="2"/>
      <c r="K31" s="2"/>
      <c r="L31" s="2"/>
      <c r="M31" s="2"/>
      <c r="N31" s="2"/>
      <c r="O31" s="2"/>
      <c r="P31" s="2"/>
      <c r="Q31" s="2"/>
      <c r="R31" s="2"/>
      <c r="S31" s="7"/>
      <c r="T31" s="7"/>
      <c r="U31" s="7"/>
      <c r="V31" s="7"/>
      <c r="W31" s="7"/>
      <c r="X31" s="7"/>
      <c r="Y31" s="7"/>
      <c r="Z31" s="2"/>
      <c r="AA31" s="2"/>
      <c r="AB31" s="2"/>
      <c r="AC31" s="2"/>
    </row>
    <row r="32" spans="2:30" ht="20.100000000000001" customHeight="1">
      <c r="B32" s="415" t="s">
        <v>40</v>
      </c>
      <c r="C32" s="416"/>
      <c r="D32" s="136" t="s">
        <v>37</v>
      </c>
      <c r="E32" s="137"/>
      <c r="F32" s="137"/>
      <c r="G32" s="137"/>
      <c r="H32" s="137"/>
      <c r="I32" s="137"/>
      <c r="J32" s="138"/>
      <c r="K32" s="9"/>
      <c r="L32" s="32"/>
      <c r="M32" s="32"/>
      <c r="N32" s="9"/>
      <c r="O32" s="10"/>
      <c r="P32" s="421">
        <f>T32+Y32</f>
        <v>0</v>
      </c>
      <c r="Q32" s="421"/>
      <c r="R32" s="9" t="s">
        <v>82</v>
      </c>
      <c r="S32" s="10" t="s">
        <v>41</v>
      </c>
      <c r="T32" s="422">
        <f>D8*F8+D9*F9+D10*F10+D11*F11+D12*F12</f>
        <v>0</v>
      </c>
      <c r="U32" s="422"/>
      <c r="V32" s="33" t="s">
        <v>83</v>
      </c>
      <c r="W32" s="189" t="s">
        <v>84</v>
      </c>
      <c r="X32" s="189"/>
      <c r="Y32" s="422">
        <f>SUM(J19:K26)</f>
        <v>0</v>
      </c>
      <c r="Z32" s="422"/>
      <c r="AA32" s="34" t="s">
        <v>85</v>
      </c>
      <c r="AB32" s="2"/>
      <c r="AC32" s="2"/>
    </row>
    <row r="33" spans="2:29" ht="20.100000000000001" customHeight="1">
      <c r="B33" s="417"/>
      <c r="C33" s="418"/>
      <c r="D33" s="141" t="s">
        <v>47</v>
      </c>
      <c r="E33" s="142"/>
      <c r="F33" s="142"/>
      <c r="G33" s="142"/>
      <c r="H33" s="142"/>
      <c r="I33" s="142"/>
      <c r="J33" s="143"/>
      <c r="K33" s="8"/>
      <c r="L33" s="8"/>
      <c r="M33" s="8"/>
      <c r="N33" s="8"/>
      <c r="O33" s="8"/>
      <c r="P33" s="8"/>
      <c r="Q33" s="8"/>
      <c r="R33" s="8"/>
      <c r="S33" s="8"/>
      <c r="T33" s="8"/>
      <c r="U33" s="8"/>
      <c r="V33" s="8"/>
      <c r="W33" s="197">
        <f>N13+P27</f>
        <v>0</v>
      </c>
      <c r="X33" s="197"/>
      <c r="Y33" s="197"/>
      <c r="Z33" s="198" t="s">
        <v>113</v>
      </c>
      <c r="AA33" s="199"/>
      <c r="AB33" s="2"/>
      <c r="AC33" s="2"/>
    </row>
    <row r="34" spans="2:29" ht="20.100000000000001" customHeight="1">
      <c r="B34" s="417"/>
      <c r="C34" s="418"/>
      <c r="D34" s="141" t="s">
        <v>48</v>
      </c>
      <c r="E34" s="142"/>
      <c r="F34" s="142"/>
      <c r="G34" s="142"/>
      <c r="H34" s="142"/>
      <c r="I34" s="142"/>
      <c r="J34" s="143"/>
      <c r="K34" s="8"/>
      <c r="L34" s="8"/>
      <c r="M34" s="8"/>
      <c r="N34" s="8"/>
      <c r="O34" s="8"/>
      <c r="P34" s="8"/>
      <c r="Q34" s="8"/>
      <c r="R34" s="8"/>
      <c r="S34" s="8"/>
      <c r="T34" s="8"/>
      <c r="U34" s="8"/>
      <c r="V34" s="8"/>
      <c r="W34" s="197">
        <f>IF(共通条件・結果!AA7="８地域","-",P13+R27)</f>
        <v>0</v>
      </c>
      <c r="X34" s="197"/>
      <c r="Y34" s="197"/>
      <c r="Z34" s="198" t="s">
        <v>113</v>
      </c>
      <c r="AA34" s="199"/>
      <c r="AB34" s="2"/>
      <c r="AC34" s="2"/>
    </row>
    <row r="35" spans="2:29" ht="20.100000000000001" customHeight="1" thickBot="1">
      <c r="B35" s="419"/>
      <c r="C35" s="420"/>
      <c r="D35" s="180" t="s">
        <v>18</v>
      </c>
      <c r="E35" s="181"/>
      <c r="F35" s="181"/>
      <c r="G35" s="181"/>
      <c r="H35" s="181"/>
      <c r="I35" s="181"/>
      <c r="J35" s="182"/>
      <c r="K35" s="7"/>
      <c r="L35" s="7"/>
      <c r="M35" s="7"/>
      <c r="N35" s="7"/>
      <c r="O35" s="7"/>
      <c r="P35" s="7"/>
      <c r="Q35" s="7"/>
      <c r="R35" s="7"/>
      <c r="S35" s="7"/>
      <c r="T35" s="7"/>
      <c r="U35" s="7"/>
      <c r="V35" s="7"/>
      <c r="W35" s="237">
        <f>R13+T27</f>
        <v>0</v>
      </c>
      <c r="X35" s="237"/>
      <c r="Y35" s="237"/>
      <c r="Z35" s="35" t="s">
        <v>86</v>
      </c>
      <c r="AA35" s="36"/>
      <c r="AB35" s="2"/>
      <c r="AC35" s="2"/>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algorithmName="SHA-512" hashValue="AvLBueyLVa4CUqSm2l2Wl3y3ArmyqEoKshS9H+vIB4QUR8rFRzaO6QFGMjbu/bO4ZeFhmzL+alKscVVqhhZhqw==" saltValue="4/hwKwC4yYQ13gOM6CviIw==" spinCount="100000" sheet="1" selectLockedCells="1"/>
  <mergeCells count="168">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B23:C23"/>
    <mergeCell ref="D23:E23"/>
    <mergeCell ref="F23:G23"/>
    <mergeCell ref="H23:I23"/>
    <mergeCell ref="J23:K23"/>
    <mergeCell ref="L23:M23"/>
    <mergeCell ref="P23:Q23"/>
    <mergeCell ref="R23:S23"/>
    <mergeCell ref="T23:U23"/>
    <mergeCell ref="N23:O23"/>
    <mergeCell ref="B22:C22"/>
    <mergeCell ref="D22:E22"/>
    <mergeCell ref="F22:G22"/>
    <mergeCell ref="H22:I22"/>
    <mergeCell ref="J22:K22"/>
    <mergeCell ref="L22:M22"/>
    <mergeCell ref="P22:Q22"/>
    <mergeCell ref="R22:S22"/>
    <mergeCell ref="T22:U22"/>
    <mergeCell ref="N22:O22"/>
    <mergeCell ref="B21:C21"/>
    <mergeCell ref="D21:E21"/>
    <mergeCell ref="F21:G21"/>
    <mergeCell ref="H21:I21"/>
    <mergeCell ref="J21:K21"/>
    <mergeCell ref="L21:M21"/>
    <mergeCell ref="P21:Q21"/>
    <mergeCell ref="R21:S21"/>
    <mergeCell ref="T21:U21"/>
    <mergeCell ref="N21:O21"/>
    <mergeCell ref="B20:C20"/>
    <mergeCell ref="D20:E20"/>
    <mergeCell ref="F20:G20"/>
    <mergeCell ref="H20:I20"/>
    <mergeCell ref="J20:K20"/>
    <mergeCell ref="L20:M20"/>
    <mergeCell ref="P20:Q20"/>
    <mergeCell ref="R20:S20"/>
    <mergeCell ref="T20:U20"/>
    <mergeCell ref="N20:O20"/>
    <mergeCell ref="B19:C19"/>
    <mergeCell ref="D19:E19"/>
    <mergeCell ref="F19:G19"/>
    <mergeCell ref="H19:I19"/>
    <mergeCell ref="J19:K19"/>
    <mergeCell ref="L19:M19"/>
    <mergeCell ref="P19:Q19"/>
    <mergeCell ref="R19:S19"/>
    <mergeCell ref="T19:U19"/>
    <mergeCell ref="N19:O19"/>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2:AA2"/>
    <mergeCell ref="B5:C7"/>
    <mergeCell ref="H5:I7"/>
    <mergeCell ref="J5:K7"/>
    <mergeCell ref="L5:M7"/>
    <mergeCell ref="N5:O7"/>
    <mergeCell ref="P5:Q7"/>
    <mergeCell ref="R5:S7"/>
    <mergeCell ref="D7:E7"/>
    <mergeCell ref="F7:G7"/>
    <mergeCell ref="D5:G6"/>
  </mergeCells>
  <phoneticPr fontId="4"/>
  <conditionalFormatting sqref="B19:I26">
    <cfRule type="expression" dxfId="22" priority="61" stopIfTrue="1">
      <formula>$AE$2&lt;&gt;2</formula>
    </cfRule>
  </conditionalFormatting>
  <conditionalFormatting sqref="B8:M12">
    <cfRule type="expression" dxfId="21" priority="153" stopIfTrue="1">
      <formula>$AE$2&lt;&gt;2</formula>
    </cfRule>
  </conditionalFormatting>
  <conditionalFormatting sqref="J19:K26">
    <cfRule type="expression" dxfId="20" priority="13">
      <formula>$AE$2&lt;&gt;2</formula>
    </cfRule>
  </conditionalFormatting>
  <conditionalFormatting sqref="L19:O26">
    <cfRule type="expression" dxfId="19" priority="57" stopIfTrue="1">
      <formula>$AE$2&lt;&gt;2</formula>
    </cfRule>
  </conditionalFormatting>
  <conditionalFormatting sqref="N8:S12">
    <cfRule type="expression" dxfId="18" priority="42">
      <formula>$AE$2&lt;&gt;2</formula>
    </cfRule>
  </conditionalFormatting>
  <conditionalFormatting sqref="P32:Q32">
    <cfRule type="expression" dxfId="17" priority="6">
      <formula>$AE$2&lt;&gt;2</formula>
    </cfRule>
  </conditionalFormatting>
  <conditionalFormatting sqref="P19:U27">
    <cfRule type="expression" dxfId="16" priority="7">
      <formula>$AE$2&lt;&gt;2</formula>
    </cfRule>
  </conditionalFormatting>
  <conditionalFormatting sqref="T32:U32">
    <cfRule type="expression" dxfId="15" priority="5">
      <formula>$AE$2&lt;&gt;2</formula>
    </cfRule>
  </conditionalFormatting>
  <conditionalFormatting sqref="W33:Y35">
    <cfRule type="expression" dxfId="14" priority="1">
      <formula>$AE$2&lt;&gt;2</formula>
    </cfRule>
  </conditionalFormatting>
  <conditionalFormatting sqref="Y32:Z32">
    <cfRule type="expression" dxfId="13" priority="4">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view="pageBreakPreview" zoomScale="70" zoomScaleNormal="100" zoomScaleSheetLayoutView="70" workbookViewId="0">
      <selection activeCell="B35" sqref="B35:D35"/>
    </sheetView>
  </sheetViews>
  <sheetFormatPr defaultRowHeight="13.5"/>
  <cols>
    <col min="1" max="1" width="0.75" customWidth="1"/>
    <col min="2" max="3" width="4.125" customWidth="1"/>
    <col min="4" max="29" width="3.625" customWidth="1"/>
    <col min="30" max="30" width="4.125" customWidth="1"/>
    <col min="31" max="32" width="4.125" style="30" hidden="1" customWidth="1"/>
    <col min="33" max="33" width="8" style="30" hidden="1" customWidth="1"/>
    <col min="34" max="42" width="4.125" style="30" hidden="1" customWidth="1"/>
    <col min="43" max="45" width="4.125" style="30" customWidth="1"/>
    <col min="46" max="54" width="3.625" style="30" customWidth="1"/>
    <col min="55" max="56" width="9" style="30"/>
  </cols>
  <sheetData>
    <row r="1" spans="2:56" ht="3.75" customHeight="1"/>
    <row r="2" spans="2:56" ht="30" customHeight="1">
      <c r="B2" s="361" t="s">
        <v>151</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E2" s="83">
        <f>共通条件・結果!AE2</f>
        <v>1</v>
      </c>
      <c r="AG2" s="57" t="s">
        <v>238</v>
      </c>
    </row>
    <row r="3" spans="2:56" s="3" customFormat="1" ht="27" customHeight="1">
      <c r="B3" s="64" t="s">
        <v>239</v>
      </c>
      <c r="J3" s="65"/>
      <c r="K3" s="432" t="s">
        <v>240</v>
      </c>
      <c r="L3" s="433"/>
      <c r="M3" s="433"/>
      <c r="N3" s="434"/>
      <c r="O3" s="66"/>
      <c r="P3" s="432" t="s">
        <v>241</v>
      </c>
      <c r="Q3" s="433"/>
      <c r="R3" s="433"/>
      <c r="S3" s="434"/>
      <c r="AE3" s="2" t="s">
        <v>271</v>
      </c>
      <c r="AF3" s="19"/>
      <c r="AG3" s="67">
        <v>2</v>
      </c>
      <c r="AH3" s="19"/>
      <c r="AI3" s="19"/>
      <c r="AJ3" s="19"/>
      <c r="AK3" s="19"/>
      <c r="AL3" s="19"/>
      <c r="AM3" s="19"/>
      <c r="AN3" s="19"/>
      <c r="AO3" s="19"/>
      <c r="AP3" s="19"/>
      <c r="AQ3" s="19"/>
      <c r="AR3" s="19"/>
      <c r="AS3" s="19"/>
      <c r="AT3" s="19"/>
      <c r="AU3" s="19"/>
      <c r="AV3" s="19"/>
      <c r="AW3" s="19"/>
      <c r="AX3" s="19"/>
      <c r="AY3" s="19"/>
      <c r="AZ3" s="19"/>
      <c r="BA3" s="19"/>
      <c r="BB3" s="19"/>
      <c r="BC3" s="19"/>
      <c r="BD3" s="19"/>
    </row>
    <row r="4" spans="2:56" s="3" customFormat="1" ht="20.100000000000001" customHeight="1" thickBot="1">
      <c r="B4" s="4" t="s">
        <v>264</v>
      </c>
      <c r="C4" s="2"/>
      <c r="D4" s="2"/>
      <c r="E4" s="2"/>
      <c r="F4" s="2"/>
      <c r="G4" s="2"/>
      <c r="H4" s="2"/>
      <c r="I4" s="2"/>
      <c r="J4" s="68"/>
      <c r="K4" s="68"/>
      <c r="L4" s="68"/>
      <c r="M4" s="68"/>
      <c r="N4" s="68"/>
      <c r="O4" s="68"/>
      <c r="P4" s="68"/>
      <c r="Q4" s="68"/>
      <c r="R4" s="68"/>
      <c r="S4" s="68"/>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2:56" s="3" customFormat="1" ht="20.100000000000001" customHeight="1">
      <c r="B5" s="381" t="s">
        <v>34</v>
      </c>
      <c r="C5" s="382"/>
      <c r="D5" s="178" t="s">
        <v>35</v>
      </c>
      <c r="E5" s="178"/>
      <c r="F5" s="178"/>
      <c r="G5" s="435"/>
      <c r="H5" s="437" t="s">
        <v>108</v>
      </c>
      <c r="I5" s="438"/>
      <c r="J5" s="68"/>
      <c r="K5" s="68"/>
      <c r="L5" s="68"/>
      <c r="M5" s="68"/>
      <c r="N5" s="68"/>
      <c r="O5" s="68"/>
      <c r="P5" s="68"/>
      <c r="Q5" s="68"/>
      <c r="R5" s="68"/>
      <c r="S5" s="68"/>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2:56" s="3" customFormat="1" ht="20.100000000000001" customHeight="1" thickBot="1">
      <c r="B6" s="385"/>
      <c r="C6" s="386"/>
      <c r="D6" s="268"/>
      <c r="E6" s="268"/>
      <c r="F6" s="268"/>
      <c r="G6" s="436"/>
      <c r="H6" s="439"/>
      <c r="I6" s="440"/>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2:56" s="3" customFormat="1" ht="20.100000000000001" customHeight="1">
      <c r="B7" s="423"/>
      <c r="C7" s="424"/>
      <c r="D7" s="425"/>
      <c r="E7" s="425"/>
      <c r="F7" s="425"/>
      <c r="G7" s="425"/>
      <c r="H7" s="425"/>
      <c r="I7" s="426"/>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2:56" s="3" customFormat="1" ht="20.100000000000001" customHeight="1">
      <c r="B8" s="427"/>
      <c r="C8" s="428"/>
      <c r="D8" s="429"/>
      <c r="E8" s="429"/>
      <c r="F8" s="429"/>
      <c r="G8" s="429"/>
      <c r="H8" s="430"/>
      <c r="I8" s="431"/>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2:56" s="3" customFormat="1" ht="20.100000000000001" customHeight="1">
      <c r="B9" s="427"/>
      <c r="C9" s="428"/>
      <c r="D9" s="429"/>
      <c r="E9" s="429"/>
      <c r="F9" s="429"/>
      <c r="G9" s="429"/>
      <c r="H9" s="430"/>
      <c r="I9" s="431"/>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2:56" s="3" customFormat="1" ht="20.100000000000001" customHeight="1">
      <c r="B10" s="427"/>
      <c r="C10" s="428"/>
      <c r="D10" s="429"/>
      <c r="E10" s="429"/>
      <c r="F10" s="429"/>
      <c r="G10" s="429"/>
      <c r="H10" s="430"/>
      <c r="I10" s="431"/>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2:56" s="3" customFormat="1" ht="20.100000000000001" customHeight="1">
      <c r="B11" s="441"/>
      <c r="C11" s="442"/>
      <c r="D11" s="443"/>
      <c r="E11" s="443"/>
      <c r="F11" s="443"/>
      <c r="G11" s="443"/>
      <c r="H11" s="443"/>
      <c r="I11" s="444"/>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2:56" s="3" customFormat="1" ht="20.100000000000001" customHeight="1">
      <c r="B12" s="427"/>
      <c r="C12" s="428"/>
      <c r="D12" s="430"/>
      <c r="E12" s="430"/>
      <c r="F12" s="430"/>
      <c r="G12" s="430"/>
      <c r="H12" s="430"/>
      <c r="I12" s="431"/>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2:56" s="3" customFormat="1" ht="20.100000000000001" customHeight="1">
      <c r="B13" s="427"/>
      <c r="C13" s="428"/>
      <c r="D13" s="430"/>
      <c r="E13" s="430"/>
      <c r="F13" s="430"/>
      <c r="G13" s="430"/>
      <c r="H13" s="430"/>
      <c r="I13" s="431"/>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2:56" s="3" customFormat="1" ht="20.100000000000001" customHeight="1" thickBot="1">
      <c r="B14" s="449"/>
      <c r="C14" s="450"/>
      <c r="D14" s="451"/>
      <c r="E14" s="451"/>
      <c r="F14" s="451"/>
      <c r="G14" s="451"/>
      <c r="H14" s="451"/>
      <c r="I14" s="452"/>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2:56" s="3" customFormat="1" ht="20.100000000000001" customHeight="1" thickBot="1">
      <c r="B15" s="445" t="s">
        <v>42</v>
      </c>
      <c r="C15" s="446"/>
      <c r="D15" s="446"/>
      <c r="E15" s="446"/>
      <c r="F15" s="446"/>
      <c r="G15" s="446"/>
      <c r="H15" s="202">
        <f>SUM(H7:I14)</f>
        <v>0</v>
      </c>
      <c r="I15" s="203"/>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2:56" s="3" customFormat="1" ht="20.100000000000001" customHeight="1">
      <c r="B16" s="2" t="s">
        <v>242</v>
      </c>
      <c r="C16" s="69"/>
      <c r="D16" s="69"/>
      <c r="E16" s="69"/>
      <c r="F16" s="69"/>
      <c r="G16" s="69"/>
      <c r="H16" s="70"/>
      <c r="I16" s="70"/>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2:56" s="3" customFormat="1" ht="20.100000000000001" customHeight="1">
      <c r="B17" s="2"/>
      <c r="C17" s="69"/>
      <c r="D17" s="69"/>
      <c r="E17" s="69"/>
      <c r="F17" s="69"/>
      <c r="G17" s="69"/>
      <c r="H17" s="70"/>
      <c r="I17" s="70"/>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2:56" s="3" customFormat="1" ht="20.100000000000001" customHeight="1">
      <c r="B18" s="4"/>
      <c r="C18" s="69"/>
      <c r="D18" s="69"/>
      <c r="E18" s="69"/>
      <c r="F18" s="69"/>
      <c r="G18" s="69"/>
      <c r="H18" s="70"/>
      <c r="I18" s="70"/>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2:56" s="2" customFormat="1" ht="20.100000000000001" customHeight="1" thickBot="1">
      <c r="B19" s="4" t="s">
        <v>263</v>
      </c>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2:56" s="2" customFormat="1" ht="20.100000000000001" customHeight="1">
      <c r="B20" s="367" t="s">
        <v>34</v>
      </c>
      <c r="C20" s="178"/>
      <c r="D20" s="178" t="s">
        <v>35</v>
      </c>
      <c r="E20" s="178"/>
      <c r="F20" s="178"/>
      <c r="G20" s="178"/>
      <c r="H20" s="254" t="s">
        <v>152</v>
      </c>
      <c r="I20" s="447"/>
      <c r="J20" s="255"/>
      <c r="K20" s="254" t="s">
        <v>111</v>
      </c>
      <c r="L20" s="447"/>
      <c r="M20" s="255"/>
      <c r="N20" s="254" t="s">
        <v>123</v>
      </c>
      <c r="O20" s="447"/>
      <c r="P20" s="255"/>
      <c r="Q20" s="254" t="s">
        <v>110</v>
      </c>
      <c r="R20" s="195"/>
      <c r="S20" s="196"/>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2:56" s="2" customFormat="1" ht="20.100000000000001" customHeight="1" thickBot="1">
      <c r="B21" s="369"/>
      <c r="C21" s="268"/>
      <c r="D21" s="268"/>
      <c r="E21" s="268"/>
      <c r="F21" s="268"/>
      <c r="G21" s="268"/>
      <c r="H21" s="258"/>
      <c r="I21" s="448"/>
      <c r="J21" s="259"/>
      <c r="K21" s="258"/>
      <c r="L21" s="448"/>
      <c r="M21" s="259"/>
      <c r="N21" s="258"/>
      <c r="O21" s="448"/>
      <c r="P21" s="259"/>
      <c r="Q21" s="300"/>
      <c r="R21" s="297"/>
      <c r="S21" s="301"/>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2:56" s="2" customFormat="1" ht="20.100000000000001" customHeight="1">
      <c r="B22" s="463" t="str">
        <f>IF(B7="","",B7)</f>
        <v/>
      </c>
      <c r="C22" s="464"/>
      <c r="D22" s="465" t="str">
        <f>IF(D7="","",D7)</f>
        <v/>
      </c>
      <c r="E22" s="466"/>
      <c r="F22" s="466"/>
      <c r="G22" s="464"/>
      <c r="H22" s="241"/>
      <c r="I22" s="467"/>
      <c r="J22" s="242"/>
      <c r="K22" s="241"/>
      <c r="L22" s="467"/>
      <c r="M22" s="242"/>
      <c r="N22" s="468"/>
      <c r="O22" s="469"/>
      <c r="P22" s="470"/>
      <c r="Q22" s="390" t="str">
        <f>IF(H22="","",K22*H22*AH22)</f>
        <v/>
      </c>
      <c r="R22" s="471"/>
      <c r="S22" s="472"/>
      <c r="AE22" s="19"/>
      <c r="AF22" s="19"/>
      <c r="AG22" s="38" t="b">
        <v>0</v>
      </c>
      <c r="AH22" s="38">
        <f t="shared" ref="AH22:AH29" si="0">IF(AG22=TRUE,0.7,1)</f>
        <v>1</v>
      </c>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2:56" s="2" customFormat="1" ht="20.100000000000001" customHeight="1">
      <c r="B23" s="453" t="str">
        <f>IF(B8="","",B8)</f>
        <v/>
      </c>
      <c r="C23" s="454"/>
      <c r="D23" s="455" t="str">
        <f>IF(D8="","",D8)</f>
        <v/>
      </c>
      <c r="E23" s="456"/>
      <c r="F23" s="456"/>
      <c r="G23" s="457"/>
      <c r="H23" s="232"/>
      <c r="I23" s="458"/>
      <c r="J23" s="233"/>
      <c r="K23" s="232"/>
      <c r="L23" s="458"/>
      <c r="M23" s="233"/>
      <c r="N23" s="459"/>
      <c r="O23" s="460"/>
      <c r="P23" s="461"/>
      <c r="Q23" s="215" t="str">
        <f>IF(H23="","",K23*H23*AH23)</f>
        <v/>
      </c>
      <c r="R23" s="462"/>
      <c r="S23" s="238"/>
      <c r="AE23" s="19"/>
      <c r="AF23" s="19"/>
      <c r="AG23" s="38" t="b">
        <v>0</v>
      </c>
      <c r="AH23" s="38">
        <f t="shared" si="0"/>
        <v>1</v>
      </c>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2:56" s="2" customFormat="1" ht="20.100000000000001" customHeight="1">
      <c r="B24" s="473" t="str">
        <f>IF(B9="","",B9)</f>
        <v/>
      </c>
      <c r="C24" s="457"/>
      <c r="D24" s="455" t="str">
        <f>IF(D9="","",D9)</f>
        <v/>
      </c>
      <c r="E24" s="456"/>
      <c r="F24" s="456"/>
      <c r="G24" s="457"/>
      <c r="H24" s="232"/>
      <c r="I24" s="458"/>
      <c r="J24" s="233"/>
      <c r="K24" s="232"/>
      <c r="L24" s="458"/>
      <c r="M24" s="233"/>
      <c r="N24" s="459"/>
      <c r="O24" s="460"/>
      <c r="P24" s="461"/>
      <c r="Q24" s="215" t="str">
        <f>IF(H24="","",K24*H24*AH24)</f>
        <v/>
      </c>
      <c r="R24" s="462"/>
      <c r="S24" s="238"/>
      <c r="AE24" s="19"/>
      <c r="AF24" s="19"/>
      <c r="AG24" s="38" t="b">
        <v>0</v>
      </c>
      <c r="AH24" s="38">
        <f t="shared" si="0"/>
        <v>1</v>
      </c>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2:56" s="2" customFormat="1" ht="20.100000000000001" customHeight="1">
      <c r="B25" s="473" t="str">
        <f>IF(B10="","",B10)</f>
        <v/>
      </c>
      <c r="C25" s="457"/>
      <c r="D25" s="455" t="str">
        <f>IF(D10="","",D10)</f>
        <v/>
      </c>
      <c r="E25" s="456"/>
      <c r="F25" s="456"/>
      <c r="G25" s="457"/>
      <c r="H25" s="232"/>
      <c r="I25" s="458"/>
      <c r="J25" s="233"/>
      <c r="K25" s="232"/>
      <c r="L25" s="458"/>
      <c r="M25" s="233"/>
      <c r="N25" s="459"/>
      <c r="O25" s="460"/>
      <c r="P25" s="461"/>
      <c r="Q25" s="215" t="str">
        <f>IF(H25="","",K25*H25*AH25)</f>
        <v/>
      </c>
      <c r="R25" s="462"/>
      <c r="S25" s="238"/>
      <c r="AE25" s="19"/>
      <c r="AF25" s="19"/>
      <c r="AG25" s="38" t="b">
        <v>0</v>
      </c>
      <c r="AH25" s="38">
        <f t="shared" si="0"/>
        <v>1</v>
      </c>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2:56" s="2" customFormat="1" ht="20.100000000000001" customHeight="1">
      <c r="B26" s="474" t="str">
        <f>IF(B11="","",B11)</f>
        <v/>
      </c>
      <c r="C26" s="475"/>
      <c r="D26" s="475" t="str">
        <f>IF(D11="","",D11)</f>
        <v/>
      </c>
      <c r="E26" s="475"/>
      <c r="F26" s="475"/>
      <c r="G26" s="475"/>
      <c r="H26" s="236"/>
      <c r="I26" s="236"/>
      <c r="J26" s="236"/>
      <c r="K26" s="236"/>
      <c r="L26" s="236"/>
      <c r="M26" s="236"/>
      <c r="N26" s="476"/>
      <c r="O26" s="476"/>
      <c r="P26" s="476"/>
      <c r="Q26" s="217" t="str">
        <f>IF(H26="","",K26*H26*AH26)</f>
        <v/>
      </c>
      <c r="R26" s="217"/>
      <c r="S26" s="218"/>
      <c r="AE26" s="19"/>
      <c r="AF26" s="19"/>
      <c r="AG26" s="38" t="b">
        <v>0</v>
      </c>
      <c r="AH26" s="38">
        <f t="shared" si="0"/>
        <v>1</v>
      </c>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2:56" s="2" customFormat="1" ht="20.100000000000001" customHeight="1">
      <c r="B27" s="474" t="str">
        <f t="shared" ref="B27:B29" si="1">IF(B12="","",B12)</f>
        <v/>
      </c>
      <c r="C27" s="475"/>
      <c r="D27" s="475" t="str">
        <f t="shared" ref="D27:D29" si="2">IF(D12="","",D12)</f>
        <v/>
      </c>
      <c r="E27" s="475"/>
      <c r="F27" s="475"/>
      <c r="G27" s="475"/>
      <c r="H27" s="236"/>
      <c r="I27" s="236"/>
      <c r="J27" s="236"/>
      <c r="K27" s="236"/>
      <c r="L27" s="236"/>
      <c r="M27" s="236"/>
      <c r="N27" s="476"/>
      <c r="O27" s="476"/>
      <c r="P27" s="476"/>
      <c r="Q27" s="217" t="str">
        <f t="shared" ref="Q27:Q29" si="3">IF(H27="","",K27*H27*AH27)</f>
        <v/>
      </c>
      <c r="R27" s="217"/>
      <c r="S27" s="218"/>
      <c r="T27" s="71"/>
      <c r="U27" s="71"/>
      <c r="AE27" s="19"/>
      <c r="AF27" s="19"/>
      <c r="AG27" s="38" t="b">
        <v>0</v>
      </c>
      <c r="AH27" s="38">
        <f t="shared" si="0"/>
        <v>1</v>
      </c>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2:56" s="2" customFormat="1" ht="20.100000000000001" customHeight="1">
      <c r="B28" s="474" t="str">
        <f t="shared" si="1"/>
        <v/>
      </c>
      <c r="C28" s="475"/>
      <c r="D28" s="475" t="str">
        <f t="shared" si="2"/>
        <v/>
      </c>
      <c r="E28" s="475"/>
      <c r="F28" s="475"/>
      <c r="G28" s="475"/>
      <c r="H28" s="236"/>
      <c r="I28" s="236"/>
      <c r="J28" s="236"/>
      <c r="K28" s="236"/>
      <c r="L28" s="236"/>
      <c r="M28" s="236"/>
      <c r="N28" s="476"/>
      <c r="O28" s="476"/>
      <c r="P28" s="476"/>
      <c r="Q28" s="217" t="str">
        <f t="shared" si="3"/>
        <v/>
      </c>
      <c r="R28" s="217"/>
      <c r="S28" s="218"/>
      <c r="T28" s="71"/>
      <c r="U28" s="71"/>
      <c r="AE28" s="19"/>
      <c r="AF28" s="19"/>
      <c r="AG28" s="38" t="b">
        <v>0</v>
      </c>
      <c r="AH28" s="38">
        <f t="shared" si="0"/>
        <v>1</v>
      </c>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2:56" s="2" customFormat="1" ht="20.100000000000001" customHeight="1" thickBot="1">
      <c r="B29" s="477" t="str">
        <f t="shared" si="1"/>
        <v/>
      </c>
      <c r="C29" s="478"/>
      <c r="D29" s="479" t="str">
        <f t="shared" si="2"/>
        <v/>
      </c>
      <c r="E29" s="480"/>
      <c r="F29" s="480"/>
      <c r="G29" s="478"/>
      <c r="H29" s="481"/>
      <c r="I29" s="482"/>
      <c r="J29" s="483"/>
      <c r="K29" s="481"/>
      <c r="L29" s="482"/>
      <c r="M29" s="483"/>
      <c r="N29" s="484"/>
      <c r="O29" s="485"/>
      <c r="P29" s="486"/>
      <c r="Q29" s="487" t="str">
        <f t="shared" si="3"/>
        <v/>
      </c>
      <c r="R29" s="488"/>
      <c r="S29" s="489"/>
      <c r="AE29" s="19"/>
      <c r="AF29" s="19"/>
      <c r="AG29" s="38" t="b">
        <v>0</v>
      </c>
      <c r="AH29" s="38">
        <f t="shared" si="0"/>
        <v>1</v>
      </c>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2:56" s="2" customFormat="1" ht="20.100000000000001" customHeight="1" thickBot="1">
      <c r="B30" s="200" t="s">
        <v>112</v>
      </c>
      <c r="C30" s="201"/>
      <c r="D30" s="201"/>
      <c r="E30" s="201"/>
      <c r="F30" s="201"/>
      <c r="G30" s="201"/>
      <c r="H30" s="202">
        <f>SUM(H22:J29)</f>
        <v>0</v>
      </c>
      <c r="I30" s="202"/>
      <c r="J30" s="202"/>
      <c r="K30" s="490" t="s">
        <v>79</v>
      </c>
      <c r="L30" s="491"/>
      <c r="M30" s="491"/>
      <c r="N30" s="446" t="s">
        <v>79</v>
      </c>
      <c r="O30" s="446"/>
      <c r="P30" s="446"/>
      <c r="Q30" s="405">
        <f>SUM(Q22:S29)</f>
        <v>0</v>
      </c>
      <c r="R30" s="492"/>
      <c r="S30" s="493"/>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2:56" s="2" customFormat="1" ht="20.100000000000001" customHeight="1">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2:56" s="3" customFormat="1" ht="20.100000000000001" customHeight="1" thickBot="1">
      <c r="B32" s="4" t="s">
        <v>292</v>
      </c>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2:56" s="3" customFormat="1" ht="20.100000000000001" customHeight="1">
      <c r="B33" s="248" t="s">
        <v>0</v>
      </c>
      <c r="C33" s="195"/>
      <c r="D33" s="195"/>
      <c r="E33" s="302" t="s">
        <v>106</v>
      </c>
      <c r="F33" s="195"/>
      <c r="G33" s="249"/>
      <c r="H33" s="254" t="s">
        <v>108</v>
      </c>
      <c r="I33" s="195"/>
      <c r="J33" s="249"/>
      <c r="K33" s="254" t="s">
        <v>109</v>
      </c>
      <c r="L33" s="195"/>
      <c r="M33" s="249"/>
      <c r="N33" s="254" t="s">
        <v>123</v>
      </c>
      <c r="O33" s="447"/>
      <c r="P33" s="255"/>
      <c r="Q33" s="494" t="s">
        <v>153</v>
      </c>
      <c r="R33" s="494"/>
      <c r="S33" s="494"/>
      <c r="T33" s="494" t="s">
        <v>154</v>
      </c>
      <c r="U33" s="494"/>
      <c r="V33" s="494"/>
      <c r="W33" s="254" t="s">
        <v>110</v>
      </c>
      <c r="X33" s="195"/>
      <c r="Y33" s="196"/>
      <c r="Z33" s="2"/>
      <c r="AE33" s="19" t="s">
        <v>114</v>
      </c>
      <c r="AF33" s="19"/>
      <c r="AG33" s="19"/>
      <c r="AH33" s="19"/>
      <c r="AI33" s="19"/>
      <c r="AJ33" s="496" t="s">
        <v>124</v>
      </c>
      <c r="AK33" s="496"/>
      <c r="AL33" s="19"/>
      <c r="AM33" s="72"/>
      <c r="AN33" s="19"/>
      <c r="AO33" s="19"/>
      <c r="AP33" s="19"/>
      <c r="AQ33" s="19"/>
      <c r="AR33" s="19"/>
      <c r="AS33" s="19"/>
      <c r="AT33" s="19"/>
      <c r="AU33" s="19"/>
      <c r="AV33" s="19"/>
      <c r="AW33" s="19"/>
      <c r="AX33" s="19"/>
      <c r="AY33" s="19"/>
      <c r="AZ33" s="19"/>
      <c r="BA33" s="19"/>
      <c r="BB33" s="19"/>
      <c r="BC33" s="19"/>
      <c r="BD33" s="19"/>
    </row>
    <row r="34" spans="2:56" s="3" customFormat="1" ht="20.100000000000001" customHeight="1" thickBot="1">
      <c r="B34" s="252"/>
      <c r="C34" s="297"/>
      <c r="D34" s="297"/>
      <c r="E34" s="300"/>
      <c r="F34" s="297"/>
      <c r="G34" s="253"/>
      <c r="H34" s="300"/>
      <c r="I34" s="297"/>
      <c r="J34" s="253"/>
      <c r="K34" s="300"/>
      <c r="L34" s="297"/>
      <c r="M34" s="253"/>
      <c r="N34" s="258"/>
      <c r="O34" s="448"/>
      <c r="P34" s="259"/>
      <c r="Q34" s="495"/>
      <c r="R34" s="495"/>
      <c r="S34" s="495"/>
      <c r="T34" s="495"/>
      <c r="U34" s="495"/>
      <c r="V34" s="495"/>
      <c r="W34" s="300"/>
      <c r="X34" s="297"/>
      <c r="Y34" s="301"/>
      <c r="Z34" s="2"/>
      <c r="AE34" s="19"/>
      <c r="AF34" s="19"/>
      <c r="AG34" s="73"/>
      <c r="AH34" s="74"/>
      <c r="AI34" s="73"/>
      <c r="AJ34" s="75" t="s">
        <v>125</v>
      </c>
      <c r="AK34" s="75" t="s">
        <v>126</v>
      </c>
      <c r="AL34" s="19"/>
      <c r="AM34" s="19"/>
      <c r="AN34" s="72" t="s">
        <v>127</v>
      </c>
      <c r="AO34" s="72"/>
      <c r="AP34" s="72" t="s">
        <v>128</v>
      </c>
      <c r="AQ34" s="19"/>
      <c r="AR34" s="19"/>
      <c r="AS34" s="19"/>
      <c r="AT34" s="19"/>
      <c r="AU34" s="19"/>
      <c r="AV34" s="19"/>
      <c r="AW34" s="19"/>
      <c r="AX34" s="19"/>
      <c r="AY34" s="19"/>
      <c r="AZ34" s="19"/>
      <c r="BA34" s="19"/>
      <c r="BB34" s="19"/>
      <c r="BC34" s="19"/>
      <c r="BD34" s="19"/>
    </row>
    <row r="35" spans="2:56" s="2" customFormat="1" ht="20.100000000000001" customHeight="1">
      <c r="B35" s="372"/>
      <c r="C35" s="497"/>
      <c r="D35" s="497"/>
      <c r="E35" s="241"/>
      <c r="F35" s="467"/>
      <c r="G35" s="242"/>
      <c r="H35" s="241"/>
      <c r="I35" s="467"/>
      <c r="J35" s="242"/>
      <c r="K35" s="241"/>
      <c r="L35" s="467"/>
      <c r="M35" s="242"/>
      <c r="N35" s="468" t="s">
        <v>44</v>
      </c>
      <c r="O35" s="469"/>
      <c r="P35" s="470"/>
      <c r="Q35" s="390" t="str">
        <f>IF(H35="","",IF(AG35=TRUE,0,H35*K35*0.034*AJ35))</f>
        <v/>
      </c>
      <c r="R35" s="471"/>
      <c r="S35" s="391"/>
      <c r="T35" s="217" t="str">
        <f>IF(H35="","",IF(AG35=TRUE,0,H35*K35*0.034*AK35))</f>
        <v/>
      </c>
      <c r="U35" s="217"/>
      <c r="V35" s="217"/>
      <c r="W35" s="246" t="str">
        <f>IF(H35="","",K35*H35*AH35)</f>
        <v/>
      </c>
      <c r="X35" s="246"/>
      <c r="Y35" s="247"/>
      <c r="AE35" s="19" t="s">
        <v>115</v>
      </c>
      <c r="AF35" s="19"/>
      <c r="AG35" s="38" t="b">
        <v>0</v>
      </c>
      <c r="AH35" s="38">
        <f>IF(AG35=TRUE,0.7,1)</f>
        <v>1</v>
      </c>
      <c r="AI35" s="19"/>
      <c r="AJ35" s="38" t="e">
        <f>VLOOKUP(E35,夏方位係数,2,FALSE)</f>
        <v>#N/A</v>
      </c>
      <c r="AK35" s="38" t="e">
        <f>VLOOKUP(E35,冬方位係数,2,FALSE)</f>
        <v>#N/A</v>
      </c>
      <c r="AL35" s="19"/>
      <c r="AM35" s="76" t="s">
        <v>129</v>
      </c>
      <c r="AN35" s="76" t="b">
        <f>'Ａ（南）'!$V$4</f>
        <v>0</v>
      </c>
      <c r="AO35" s="76" t="s">
        <v>129</v>
      </c>
      <c r="AP35" s="76" t="b">
        <f>'Ａ（南）'!$X$4</f>
        <v>0</v>
      </c>
      <c r="AQ35" s="19"/>
      <c r="AR35" s="19"/>
      <c r="AS35" s="19"/>
      <c r="AT35" s="19"/>
      <c r="AU35" s="19"/>
      <c r="AV35" s="19"/>
      <c r="AW35" s="19"/>
      <c r="AX35" s="19"/>
      <c r="AY35" s="19"/>
      <c r="AZ35" s="19"/>
      <c r="BA35" s="19"/>
      <c r="BB35" s="19"/>
      <c r="BC35" s="19"/>
      <c r="BD35" s="19"/>
    </row>
    <row r="36" spans="2:56" s="2" customFormat="1" ht="20.100000000000001" customHeight="1">
      <c r="B36" s="374"/>
      <c r="C36" s="498"/>
      <c r="D36" s="498"/>
      <c r="E36" s="232"/>
      <c r="F36" s="458"/>
      <c r="G36" s="233"/>
      <c r="H36" s="232"/>
      <c r="I36" s="458"/>
      <c r="J36" s="233"/>
      <c r="K36" s="232"/>
      <c r="L36" s="458"/>
      <c r="M36" s="233"/>
      <c r="N36" s="459"/>
      <c r="O36" s="460"/>
      <c r="P36" s="461"/>
      <c r="Q36" s="217" t="str">
        <f>IF(H36="","",IF(AG36=TRUE,0,H36*K36*0.034*AJ36))</f>
        <v/>
      </c>
      <c r="R36" s="217"/>
      <c r="S36" s="217"/>
      <c r="T36" s="217" t="str">
        <f>IF(H36="","",IF(AG36=TRUE,0,H36*K36*0.034*AK36))</f>
        <v/>
      </c>
      <c r="U36" s="217"/>
      <c r="V36" s="217"/>
      <c r="W36" s="217" t="str">
        <f>IF(H36="","",K36*H36*AH36)</f>
        <v/>
      </c>
      <c r="X36" s="217"/>
      <c r="Y36" s="218"/>
      <c r="AE36" s="19" t="s">
        <v>116</v>
      </c>
      <c r="AF36" s="19"/>
      <c r="AG36" s="38" t="b">
        <v>0</v>
      </c>
      <c r="AH36" s="38">
        <f t="shared" ref="AH36:AH44" si="4">IF(AG36=TRUE,0.7,1)</f>
        <v>1</v>
      </c>
      <c r="AI36" s="19"/>
      <c r="AJ36" s="38" t="e">
        <f t="shared" ref="AJ36:AJ44" si="5">VLOOKUP(E36,夏方位係数,2,FALSE)</f>
        <v>#N/A</v>
      </c>
      <c r="AK36" s="38" t="e">
        <f t="shared" ref="AK36:AK44" si="6">VLOOKUP(E36,冬方位係数,2,FALSE)</f>
        <v>#N/A</v>
      </c>
      <c r="AL36" s="19"/>
      <c r="AM36" s="76" t="s">
        <v>130</v>
      </c>
      <c r="AN36" s="76" t="b">
        <f>'Ａ（東）'!$V$4</f>
        <v>0</v>
      </c>
      <c r="AO36" s="76" t="s">
        <v>130</v>
      </c>
      <c r="AP36" s="76" t="b">
        <f>'Ａ（東）'!$X$4</f>
        <v>0</v>
      </c>
      <c r="AQ36" s="19"/>
      <c r="AR36" s="19"/>
      <c r="AS36" s="19"/>
      <c r="AT36" s="19"/>
      <c r="AU36" s="19"/>
      <c r="AV36" s="19"/>
      <c r="AW36" s="19"/>
      <c r="AX36" s="19"/>
      <c r="AY36" s="19"/>
      <c r="AZ36" s="19"/>
      <c r="BA36" s="19"/>
      <c r="BB36" s="19"/>
      <c r="BC36" s="19"/>
      <c r="BD36" s="19"/>
    </row>
    <row r="37" spans="2:56" s="2" customFormat="1" ht="20.100000000000001" customHeight="1">
      <c r="B37" s="374"/>
      <c r="C37" s="498"/>
      <c r="D37" s="498"/>
      <c r="E37" s="232"/>
      <c r="F37" s="458"/>
      <c r="G37" s="233"/>
      <c r="H37" s="232"/>
      <c r="I37" s="458"/>
      <c r="J37" s="233"/>
      <c r="K37" s="232"/>
      <c r="L37" s="458"/>
      <c r="M37" s="233"/>
      <c r="N37" s="459"/>
      <c r="O37" s="460"/>
      <c r="P37" s="461"/>
      <c r="Q37" s="217" t="str">
        <f>IF(H37="","",IF(AG37=TRUE,0,H37*K37*0.034*AJ37))</f>
        <v/>
      </c>
      <c r="R37" s="217"/>
      <c r="S37" s="217"/>
      <c r="T37" s="217" t="str">
        <f>IF(H37="","",IF(AG37=TRUE,0,H37*K37*0.034*AK37))</f>
        <v/>
      </c>
      <c r="U37" s="217"/>
      <c r="V37" s="217"/>
      <c r="W37" s="217" t="str">
        <f>IF(H37="","",K37*H37*AH37)</f>
        <v/>
      </c>
      <c r="X37" s="217"/>
      <c r="Y37" s="218"/>
      <c r="AE37" s="19" t="s">
        <v>117</v>
      </c>
      <c r="AF37" s="19"/>
      <c r="AG37" s="38" t="b">
        <v>0</v>
      </c>
      <c r="AH37" s="38">
        <f t="shared" si="4"/>
        <v>1</v>
      </c>
      <c r="AI37" s="19"/>
      <c r="AJ37" s="38" t="e">
        <f t="shared" si="5"/>
        <v>#N/A</v>
      </c>
      <c r="AK37" s="38" t="e">
        <f t="shared" si="6"/>
        <v>#N/A</v>
      </c>
      <c r="AL37" s="19"/>
      <c r="AM37" s="76" t="s">
        <v>131</v>
      </c>
      <c r="AN37" s="76" t="b">
        <f>'Ａ（北）'!$V$4</f>
        <v>0</v>
      </c>
      <c r="AO37" s="76" t="s">
        <v>131</v>
      </c>
      <c r="AP37" s="76" t="b">
        <f>'Ａ（北）'!$X$4</f>
        <v>0</v>
      </c>
      <c r="AQ37" s="19"/>
      <c r="AR37" s="19"/>
      <c r="AS37" s="19"/>
      <c r="AT37" s="19"/>
      <c r="AU37" s="19"/>
      <c r="AV37" s="19"/>
      <c r="AW37" s="19"/>
      <c r="AX37" s="19"/>
      <c r="AY37" s="19"/>
      <c r="AZ37" s="19"/>
      <c r="BA37" s="19"/>
      <c r="BB37" s="19"/>
      <c r="BC37" s="19"/>
      <c r="BD37" s="19"/>
    </row>
    <row r="38" spans="2:56" s="2" customFormat="1" ht="20.100000000000001" customHeight="1">
      <c r="B38" s="374"/>
      <c r="C38" s="498"/>
      <c r="D38" s="498"/>
      <c r="E38" s="232"/>
      <c r="F38" s="458"/>
      <c r="G38" s="233"/>
      <c r="H38" s="232"/>
      <c r="I38" s="458"/>
      <c r="J38" s="233"/>
      <c r="K38" s="232"/>
      <c r="L38" s="458"/>
      <c r="M38" s="233"/>
      <c r="N38" s="459"/>
      <c r="O38" s="460"/>
      <c r="P38" s="461"/>
      <c r="Q38" s="217" t="str">
        <f>IF(H38="","",IF(AG38=TRUE,0,H38*K38*0.034*AJ38))</f>
        <v/>
      </c>
      <c r="R38" s="217"/>
      <c r="S38" s="217"/>
      <c r="T38" s="217" t="str">
        <f>IF(H38="","",IF(AG38=TRUE,0,H38*K38*0.034*AK38))</f>
        <v/>
      </c>
      <c r="U38" s="217"/>
      <c r="V38" s="217"/>
      <c r="W38" s="217" t="str">
        <f>IF(H38="","",K38*H38*AH38)</f>
        <v/>
      </c>
      <c r="X38" s="217"/>
      <c r="Y38" s="218"/>
      <c r="AE38" s="19" t="s">
        <v>118</v>
      </c>
      <c r="AF38" s="19"/>
      <c r="AG38" s="38" t="b">
        <v>0</v>
      </c>
      <c r="AH38" s="38">
        <f t="shared" si="4"/>
        <v>1</v>
      </c>
      <c r="AI38" s="19"/>
      <c r="AJ38" s="38" t="e">
        <f t="shared" si="5"/>
        <v>#N/A</v>
      </c>
      <c r="AK38" s="38" t="e">
        <f t="shared" si="6"/>
        <v>#N/A</v>
      </c>
      <c r="AL38" s="19"/>
      <c r="AM38" s="76" t="s">
        <v>132</v>
      </c>
      <c r="AN38" s="76" t="b">
        <f>'Ａ（西）'!$V$4</f>
        <v>0</v>
      </c>
      <c r="AO38" s="76" t="s">
        <v>132</v>
      </c>
      <c r="AP38" s="76" t="b">
        <f>'Ａ（西）'!$X$4</f>
        <v>0</v>
      </c>
      <c r="AQ38" s="19"/>
      <c r="AR38" s="19"/>
      <c r="AS38" s="19"/>
      <c r="AT38" s="19"/>
      <c r="AU38" s="19"/>
      <c r="AV38" s="19"/>
      <c r="AW38" s="19"/>
      <c r="AX38" s="19"/>
      <c r="AY38" s="19"/>
      <c r="AZ38" s="19"/>
      <c r="BA38" s="19"/>
      <c r="BB38" s="19"/>
      <c r="BC38" s="19"/>
      <c r="BD38" s="19"/>
    </row>
    <row r="39" spans="2:56" s="2" customFormat="1" ht="20.100000000000001" customHeight="1">
      <c r="B39" s="374"/>
      <c r="C39" s="498"/>
      <c r="D39" s="498"/>
      <c r="E39" s="232"/>
      <c r="F39" s="458"/>
      <c r="G39" s="233"/>
      <c r="H39" s="232"/>
      <c r="I39" s="458"/>
      <c r="J39" s="233"/>
      <c r="K39" s="232"/>
      <c r="L39" s="458"/>
      <c r="M39" s="233"/>
      <c r="N39" s="459"/>
      <c r="O39" s="460"/>
      <c r="P39" s="461"/>
      <c r="Q39" s="217" t="str">
        <f>IF(H39="","",IF(AG39=TRUE,0,H39*K39*0.034*AJ39))</f>
        <v/>
      </c>
      <c r="R39" s="217"/>
      <c r="S39" s="217"/>
      <c r="T39" s="217" t="str">
        <f>IF(H39="","",IF(AG39=TRUE,0,H39*K39*0.034*AK39))</f>
        <v/>
      </c>
      <c r="U39" s="217"/>
      <c r="V39" s="217"/>
      <c r="W39" s="217" t="str">
        <f>IF(H39="","",K39*H39*AH39)</f>
        <v/>
      </c>
      <c r="X39" s="217"/>
      <c r="Y39" s="218"/>
      <c r="AE39" s="19" t="s">
        <v>119</v>
      </c>
      <c r="AF39" s="19"/>
      <c r="AG39" s="38" t="b">
        <v>0</v>
      </c>
      <c r="AH39" s="38">
        <f t="shared" si="4"/>
        <v>1</v>
      </c>
      <c r="AI39" s="19"/>
      <c r="AJ39" s="38" t="e">
        <f t="shared" si="5"/>
        <v>#N/A</v>
      </c>
      <c r="AK39" s="38" t="e">
        <f t="shared" si="6"/>
        <v>#N/A</v>
      </c>
      <c r="AL39" s="19"/>
      <c r="AM39" s="76" t="s">
        <v>133</v>
      </c>
      <c r="AN39" s="76" t="b">
        <f>'Ａ（南東）'!$V$4</f>
        <v>0</v>
      </c>
      <c r="AO39" s="76" t="s">
        <v>133</v>
      </c>
      <c r="AP39" s="76" t="b">
        <f>'Ａ（南東）'!$X$4</f>
        <v>0</v>
      </c>
      <c r="AQ39" s="19"/>
      <c r="AR39" s="19"/>
      <c r="AS39" s="19"/>
      <c r="AT39" s="19"/>
      <c r="AU39" s="19"/>
      <c r="AV39" s="19"/>
      <c r="AW39" s="19"/>
      <c r="AX39" s="19"/>
      <c r="AY39" s="19"/>
      <c r="AZ39" s="19"/>
      <c r="BA39" s="19"/>
      <c r="BB39" s="19"/>
      <c r="BC39" s="19"/>
      <c r="BD39" s="19"/>
    </row>
    <row r="40" spans="2:56" s="2" customFormat="1" ht="20.100000000000001" customHeight="1">
      <c r="B40" s="374"/>
      <c r="C40" s="498"/>
      <c r="D40" s="498"/>
      <c r="E40" s="232"/>
      <c r="F40" s="458"/>
      <c r="G40" s="233"/>
      <c r="H40" s="232"/>
      <c r="I40" s="458"/>
      <c r="J40" s="233"/>
      <c r="K40" s="232"/>
      <c r="L40" s="458"/>
      <c r="M40" s="233"/>
      <c r="N40" s="459"/>
      <c r="O40" s="460"/>
      <c r="P40" s="461"/>
      <c r="Q40" s="217" t="str">
        <f t="shared" ref="Q40:Q44" si="7">IF(H40="","",IF(AG40=TRUE,0,H40*K40*0.034*AJ40))</f>
        <v/>
      </c>
      <c r="R40" s="217"/>
      <c r="S40" s="217"/>
      <c r="T40" s="217" t="str">
        <f t="shared" ref="T40:T44" si="8">IF(H40="","",IF(AG40=TRUE,0,H40*K40*0.034*AK40))</f>
        <v/>
      </c>
      <c r="U40" s="217"/>
      <c r="V40" s="217"/>
      <c r="W40" s="217" t="str">
        <f t="shared" ref="W40:W44" si="9">IF(H40="","",K40*H40*AH40)</f>
        <v/>
      </c>
      <c r="X40" s="217"/>
      <c r="Y40" s="218"/>
      <c r="AE40" s="19" t="s">
        <v>120</v>
      </c>
      <c r="AF40" s="19"/>
      <c r="AG40" s="38" t="b">
        <v>0</v>
      </c>
      <c r="AH40" s="38">
        <f t="shared" si="4"/>
        <v>1</v>
      </c>
      <c r="AI40" s="19"/>
      <c r="AJ40" s="38" t="e">
        <f t="shared" si="5"/>
        <v>#N/A</v>
      </c>
      <c r="AK40" s="38" t="e">
        <f t="shared" si="6"/>
        <v>#N/A</v>
      </c>
      <c r="AL40" s="19"/>
      <c r="AM40" s="76" t="s">
        <v>134</v>
      </c>
      <c r="AN40" s="76" t="b">
        <f>'Ａ（北東）'!$V$4</f>
        <v>0</v>
      </c>
      <c r="AO40" s="76" t="s">
        <v>134</v>
      </c>
      <c r="AP40" s="76" t="b">
        <f>'Ａ（北東）'!$X$4</f>
        <v>0</v>
      </c>
      <c r="AQ40" s="19"/>
      <c r="AR40" s="19"/>
      <c r="AS40" s="19"/>
      <c r="AT40" s="19"/>
      <c r="AU40" s="19"/>
      <c r="AV40" s="19"/>
      <c r="AW40" s="19"/>
      <c r="AX40" s="19"/>
      <c r="AY40" s="19"/>
      <c r="AZ40" s="19"/>
      <c r="BA40" s="19"/>
      <c r="BB40" s="19"/>
      <c r="BC40" s="19"/>
      <c r="BD40" s="19"/>
    </row>
    <row r="41" spans="2:56" s="2" customFormat="1" ht="20.100000000000001" customHeight="1">
      <c r="B41" s="374"/>
      <c r="C41" s="498"/>
      <c r="D41" s="498"/>
      <c r="E41" s="232"/>
      <c r="F41" s="458"/>
      <c r="G41" s="233"/>
      <c r="H41" s="232"/>
      <c r="I41" s="458"/>
      <c r="J41" s="233"/>
      <c r="K41" s="232"/>
      <c r="L41" s="458"/>
      <c r="M41" s="233"/>
      <c r="N41" s="459"/>
      <c r="O41" s="460"/>
      <c r="P41" s="461"/>
      <c r="Q41" s="217" t="str">
        <f t="shared" si="7"/>
        <v/>
      </c>
      <c r="R41" s="217"/>
      <c r="S41" s="217"/>
      <c r="T41" s="217" t="str">
        <f t="shared" si="8"/>
        <v/>
      </c>
      <c r="U41" s="217"/>
      <c r="V41" s="217"/>
      <c r="W41" s="217" t="str">
        <f t="shared" si="9"/>
        <v/>
      </c>
      <c r="X41" s="217"/>
      <c r="Y41" s="218"/>
      <c r="AE41" s="19" t="s">
        <v>121</v>
      </c>
      <c r="AF41" s="19"/>
      <c r="AG41" s="38" t="b">
        <v>0</v>
      </c>
      <c r="AH41" s="38">
        <f t="shared" si="4"/>
        <v>1</v>
      </c>
      <c r="AI41" s="19"/>
      <c r="AJ41" s="38" t="e">
        <f t="shared" si="5"/>
        <v>#N/A</v>
      </c>
      <c r="AK41" s="38" t="e">
        <f t="shared" si="6"/>
        <v>#N/A</v>
      </c>
      <c r="AL41" s="19"/>
      <c r="AM41" s="76" t="s">
        <v>135</v>
      </c>
      <c r="AN41" s="76" t="b">
        <f>'Ａ（北西）'!$V$4</f>
        <v>0</v>
      </c>
      <c r="AO41" s="76" t="s">
        <v>135</v>
      </c>
      <c r="AP41" s="76" t="b">
        <f>'Ａ（北西）'!$X$4</f>
        <v>0</v>
      </c>
      <c r="AQ41" s="19"/>
      <c r="AR41" s="19"/>
      <c r="AS41" s="19"/>
      <c r="AT41" s="19"/>
      <c r="AU41" s="19"/>
      <c r="AV41" s="19"/>
      <c r="AW41" s="19"/>
      <c r="AX41" s="19"/>
      <c r="AY41" s="19"/>
      <c r="AZ41" s="19"/>
      <c r="BA41" s="19"/>
      <c r="BB41" s="19"/>
      <c r="BC41" s="19"/>
      <c r="BD41" s="19"/>
    </row>
    <row r="42" spans="2:56" s="2" customFormat="1" ht="20.100000000000001" customHeight="1">
      <c r="B42" s="374"/>
      <c r="C42" s="498"/>
      <c r="D42" s="498"/>
      <c r="E42" s="232"/>
      <c r="F42" s="458"/>
      <c r="G42" s="233"/>
      <c r="H42" s="232"/>
      <c r="I42" s="458"/>
      <c r="J42" s="233"/>
      <c r="K42" s="232"/>
      <c r="L42" s="458"/>
      <c r="M42" s="233"/>
      <c r="N42" s="459"/>
      <c r="O42" s="460"/>
      <c r="P42" s="461"/>
      <c r="Q42" s="217" t="str">
        <f t="shared" si="7"/>
        <v/>
      </c>
      <c r="R42" s="217"/>
      <c r="S42" s="217"/>
      <c r="T42" s="217" t="str">
        <f t="shared" si="8"/>
        <v/>
      </c>
      <c r="U42" s="217"/>
      <c r="V42" s="217"/>
      <c r="W42" s="217" t="str">
        <f t="shared" si="9"/>
        <v/>
      </c>
      <c r="X42" s="217"/>
      <c r="Y42" s="218"/>
      <c r="AE42" s="19" t="s">
        <v>122</v>
      </c>
      <c r="AF42" s="19"/>
      <c r="AG42" s="38" t="b">
        <v>0</v>
      </c>
      <c r="AH42" s="38">
        <f t="shared" si="4"/>
        <v>1</v>
      </c>
      <c r="AI42" s="19"/>
      <c r="AJ42" s="38" t="e">
        <f t="shared" si="5"/>
        <v>#N/A</v>
      </c>
      <c r="AK42" s="38" t="e">
        <f t="shared" si="6"/>
        <v>#N/A</v>
      </c>
      <c r="AL42" s="19"/>
      <c r="AM42" s="76" t="s">
        <v>136</v>
      </c>
      <c r="AN42" s="76" t="b">
        <f>'Ａ（南西）'!$V$4</f>
        <v>0</v>
      </c>
      <c r="AO42" s="76" t="s">
        <v>136</v>
      </c>
      <c r="AP42" s="76" t="b">
        <f>'Ａ（南西）'!$X$4</f>
        <v>0</v>
      </c>
      <c r="AQ42" s="19"/>
      <c r="AR42" s="19"/>
      <c r="AS42" s="19"/>
      <c r="AT42" s="19"/>
      <c r="AU42" s="19"/>
      <c r="AV42" s="19"/>
      <c r="AW42" s="19"/>
      <c r="AX42" s="19"/>
      <c r="AY42" s="19"/>
      <c r="AZ42" s="19"/>
      <c r="BA42" s="19"/>
      <c r="BB42" s="19"/>
      <c r="BC42" s="19"/>
      <c r="BD42" s="19"/>
    </row>
    <row r="43" spans="2:56" s="2" customFormat="1" ht="20.100000000000001" customHeight="1">
      <c r="B43" s="374"/>
      <c r="C43" s="498"/>
      <c r="D43" s="498"/>
      <c r="E43" s="232"/>
      <c r="F43" s="458"/>
      <c r="G43" s="233"/>
      <c r="H43" s="232"/>
      <c r="I43" s="458"/>
      <c r="J43" s="233"/>
      <c r="K43" s="232"/>
      <c r="L43" s="458"/>
      <c r="M43" s="233"/>
      <c r="N43" s="459"/>
      <c r="O43" s="460"/>
      <c r="P43" s="461"/>
      <c r="Q43" s="217" t="str">
        <f t="shared" si="7"/>
        <v/>
      </c>
      <c r="R43" s="217"/>
      <c r="S43" s="217"/>
      <c r="T43" s="217" t="str">
        <f t="shared" si="8"/>
        <v/>
      </c>
      <c r="U43" s="217"/>
      <c r="V43" s="217"/>
      <c r="W43" s="217" t="str">
        <f t="shared" si="9"/>
        <v/>
      </c>
      <c r="X43" s="217"/>
      <c r="Y43" s="218"/>
      <c r="AE43" s="19"/>
      <c r="AF43" s="19"/>
      <c r="AG43" s="38" t="b">
        <v>0</v>
      </c>
      <c r="AH43" s="38">
        <f t="shared" si="4"/>
        <v>1</v>
      </c>
      <c r="AI43" s="19"/>
      <c r="AJ43" s="38" t="e">
        <f t="shared" si="5"/>
        <v>#N/A</v>
      </c>
      <c r="AK43" s="38" t="e">
        <f t="shared" si="6"/>
        <v>#N/A</v>
      </c>
      <c r="AL43" s="19"/>
      <c r="AM43" s="19"/>
      <c r="AN43" s="19"/>
      <c r="AO43" s="19"/>
      <c r="AP43" s="19"/>
      <c r="AQ43" s="19"/>
      <c r="AR43" s="19"/>
      <c r="AS43" s="19"/>
      <c r="AT43" s="19"/>
      <c r="AU43" s="19"/>
      <c r="AV43" s="19"/>
      <c r="AW43" s="19"/>
      <c r="AX43" s="19"/>
      <c r="AY43" s="19"/>
      <c r="AZ43" s="19"/>
      <c r="BA43" s="19"/>
      <c r="BB43" s="19"/>
      <c r="BC43" s="19"/>
      <c r="BD43" s="19"/>
    </row>
    <row r="44" spans="2:56" s="2" customFormat="1" ht="20.100000000000001" customHeight="1" thickBot="1">
      <c r="B44" s="376"/>
      <c r="C44" s="501"/>
      <c r="D44" s="501"/>
      <c r="E44" s="221"/>
      <c r="F44" s="502"/>
      <c r="G44" s="222"/>
      <c r="H44" s="221"/>
      <c r="I44" s="502"/>
      <c r="J44" s="222"/>
      <c r="K44" s="221"/>
      <c r="L44" s="502"/>
      <c r="M44" s="222"/>
      <c r="N44" s="503"/>
      <c r="O44" s="504"/>
      <c r="P44" s="505"/>
      <c r="Q44" s="270" t="str">
        <f t="shared" si="7"/>
        <v/>
      </c>
      <c r="R44" s="270"/>
      <c r="S44" s="270"/>
      <c r="T44" s="270" t="str">
        <f t="shared" si="8"/>
        <v/>
      </c>
      <c r="U44" s="270"/>
      <c r="V44" s="270"/>
      <c r="W44" s="270" t="str">
        <f t="shared" si="9"/>
        <v/>
      </c>
      <c r="X44" s="270"/>
      <c r="Y44" s="271"/>
      <c r="AE44" s="19"/>
      <c r="AF44" s="19"/>
      <c r="AG44" s="38" t="b">
        <v>0</v>
      </c>
      <c r="AH44" s="38">
        <f t="shared" si="4"/>
        <v>1</v>
      </c>
      <c r="AI44" s="19"/>
      <c r="AJ44" s="38" t="e">
        <f t="shared" si="5"/>
        <v>#N/A</v>
      </c>
      <c r="AK44" s="38" t="e">
        <f t="shared" si="6"/>
        <v>#N/A</v>
      </c>
      <c r="AL44" s="19"/>
      <c r="AM44" s="19"/>
      <c r="AN44" s="19"/>
      <c r="AO44" s="19"/>
      <c r="AP44" s="19"/>
      <c r="AQ44" s="19"/>
      <c r="AR44" s="19"/>
      <c r="AS44" s="19"/>
      <c r="AT44" s="19"/>
      <c r="AU44" s="19"/>
      <c r="AV44" s="19"/>
      <c r="AW44" s="19"/>
      <c r="AX44" s="19"/>
      <c r="AY44" s="19"/>
      <c r="AZ44" s="19"/>
      <c r="BA44" s="19"/>
      <c r="BB44" s="19"/>
      <c r="BC44" s="19"/>
      <c r="BD44" s="19"/>
    </row>
    <row r="45" spans="2:56" s="2" customFormat="1" ht="20.100000000000001" customHeight="1" thickBot="1">
      <c r="B45" s="499" t="s">
        <v>107</v>
      </c>
      <c r="C45" s="500"/>
      <c r="D45" s="500"/>
      <c r="E45" s="500"/>
      <c r="F45" s="500"/>
      <c r="G45" s="500"/>
      <c r="H45" s="202">
        <f>SUM(H35:J44)</f>
        <v>0</v>
      </c>
      <c r="I45" s="202"/>
      <c r="J45" s="202"/>
      <c r="K45" s="490" t="s">
        <v>79</v>
      </c>
      <c r="L45" s="491"/>
      <c r="M45" s="491"/>
      <c r="N45" s="490" t="s">
        <v>79</v>
      </c>
      <c r="O45" s="491"/>
      <c r="P45" s="491"/>
      <c r="Q45" s="202">
        <f>SUM(Q35:S44)</f>
        <v>0</v>
      </c>
      <c r="R45" s="202"/>
      <c r="S45" s="202"/>
      <c r="T45" s="202">
        <f>IF(共通条件・結果!AA7="８地域","-",SUM(T35:V44))</f>
        <v>0</v>
      </c>
      <c r="U45" s="202"/>
      <c r="V45" s="202"/>
      <c r="W45" s="202">
        <f>SUM(W35:Y44)</f>
        <v>0</v>
      </c>
      <c r="X45" s="202"/>
      <c r="Y45" s="203"/>
      <c r="AE45" s="19"/>
      <c r="AF45" s="19"/>
      <c r="AG45" s="19"/>
      <c r="AH45" s="19"/>
      <c r="AI45" s="19"/>
      <c r="AJ45" s="38"/>
      <c r="AK45" s="38"/>
      <c r="AL45" s="19"/>
      <c r="AM45" s="19"/>
      <c r="AN45" s="19"/>
      <c r="AO45" s="19"/>
      <c r="AP45" s="19"/>
      <c r="AQ45" s="19"/>
      <c r="AR45" s="19"/>
      <c r="AS45" s="19"/>
      <c r="AT45" s="19"/>
      <c r="AU45" s="19"/>
      <c r="AV45" s="19"/>
      <c r="AW45" s="19"/>
      <c r="AX45" s="19"/>
      <c r="AY45" s="19"/>
      <c r="AZ45" s="19"/>
      <c r="BA45" s="19"/>
      <c r="BB45" s="19"/>
      <c r="BC45" s="19"/>
      <c r="BD45" s="19"/>
    </row>
    <row r="46" spans="2:56" s="2" customFormat="1" ht="20.100000000000001" customHeight="1">
      <c r="B46" s="77"/>
      <c r="AE46" s="19"/>
      <c r="AF46" s="19"/>
      <c r="AG46" s="19"/>
      <c r="AH46" s="19"/>
      <c r="AI46" s="19"/>
      <c r="AJ46" s="38"/>
      <c r="AK46" s="38"/>
      <c r="AL46" s="19"/>
      <c r="AM46" s="19"/>
      <c r="AN46" s="19"/>
      <c r="AO46" s="19"/>
      <c r="AP46" s="19"/>
      <c r="AQ46" s="19"/>
      <c r="AR46" s="19"/>
      <c r="AS46" s="19"/>
      <c r="AT46" s="19"/>
      <c r="AU46" s="19"/>
      <c r="AV46" s="19"/>
      <c r="AW46" s="19"/>
      <c r="AX46" s="19"/>
      <c r="AY46" s="19"/>
      <c r="AZ46" s="19"/>
      <c r="BA46" s="19"/>
      <c r="BB46" s="19"/>
      <c r="BC46" s="19"/>
      <c r="BD46" s="19"/>
    </row>
    <row r="47" spans="2:56" s="2" customFormat="1" ht="20.100000000000001" customHeight="1">
      <c r="AE47" s="19"/>
      <c r="AF47" s="19"/>
      <c r="AG47" s="19"/>
      <c r="AH47" s="19"/>
      <c r="AI47" s="19"/>
      <c r="AJ47" s="38"/>
      <c r="AK47" s="38"/>
      <c r="AL47" s="19"/>
      <c r="AM47" s="19"/>
      <c r="AN47" s="19"/>
      <c r="AO47" s="19"/>
      <c r="AP47" s="19"/>
      <c r="AQ47" s="19"/>
      <c r="AR47" s="19"/>
      <c r="AS47" s="19"/>
      <c r="AT47" s="19"/>
      <c r="AU47" s="19"/>
      <c r="AV47" s="19"/>
      <c r="AW47" s="19"/>
      <c r="AX47" s="19"/>
      <c r="AY47" s="19"/>
      <c r="AZ47" s="19"/>
      <c r="BA47" s="19"/>
      <c r="BB47" s="19"/>
      <c r="BC47" s="19"/>
      <c r="BD47" s="19"/>
    </row>
    <row r="48" spans="2:56" s="3" customFormat="1" ht="20.100000000000001" customHeight="1">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25:56" s="3" customFormat="1" ht="20.100000000000001" customHeight="1">
      <c r="Y49" s="2"/>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25:56" s="3" customFormat="1" ht="20.100000000000001" customHeight="1">
      <c r="Y50" s="2"/>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25:56" s="3" customFormat="1" ht="20.100000000000001" customHeight="1">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25:56" s="3" customFormat="1" ht="20.100000000000001" customHeight="1">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25:56" s="3" customFormat="1" ht="20.100000000000001" customHeight="1">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25:56" s="3" customFormat="1" ht="20.100000000000001" customHeight="1">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25:56" s="3" customFormat="1" ht="20.100000000000001" customHeight="1">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25:56" s="3" customFormat="1" ht="20.100000000000001" customHeight="1">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25:56" s="3" customFormat="1" ht="20.100000000000001" customHeight="1">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25:56" s="3" customFormat="1" ht="20.100000000000001" customHeight="1">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25:56" s="3" customFormat="1" ht="20.100000000000001" customHeight="1">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row>
    <row r="60" spans="25:56" s="3" customFormat="1" ht="20.100000000000001" customHeight="1">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row>
    <row r="61" spans="25:56" s="3" customFormat="1" ht="20.100000000000001" customHeight="1">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5:56" s="3" customFormat="1" ht="20.100000000000001" customHeight="1">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row>
    <row r="63" spans="25:56" s="3" customFormat="1" ht="20.100000000000001" customHeight="1">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row>
    <row r="64" spans="25:56" s="3" customFormat="1" ht="20.100000000000001" customHeight="1">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row>
    <row r="65" spans="31:56" s="3" customFormat="1" ht="20.100000000000001" customHeight="1">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row>
    <row r="66" spans="31:56" s="3" customFormat="1" ht="20.100000000000001" customHeight="1">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31:56" s="3" customFormat="1" ht="20.100000000000001" customHeight="1">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row>
    <row r="68" spans="31:56" s="3" customFormat="1" ht="20.100000000000001" customHeight="1">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row>
    <row r="69" spans="31:56" s="3" customFormat="1" ht="20.100000000000001" customHeight="1">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row r="70" spans="31:56" s="3" customFormat="1" ht="20.100000000000001" customHeight="1">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31:56" s="3" customFormat="1" ht="20.100000000000001" customHeight="1">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31:56" s="3" customFormat="1" ht="20.100000000000001" customHeight="1">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31:56" s="3" customFormat="1" ht="20.100000000000001" customHeight="1">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row>
    <row r="74" spans="31:56" s="3" customFormat="1" ht="20.100000000000001" customHeight="1">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row>
    <row r="75" spans="31:56" s="3" customFormat="1" ht="20.100000000000001" customHeight="1">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row>
    <row r="76" spans="31:56" s="3" customFormat="1" ht="20.100000000000001" customHeight="1">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row>
    <row r="77" spans="31:56" s="3" customFormat="1" ht="20.100000000000001" customHeight="1">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row>
    <row r="78" spans="31:56" s="3" customFormat="1" ht="20.100000000000001" customHeight="1">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row>
    <row r="79" spans="31:56" s="3" customFormat="1" ht="20.100000000000001" customHeight="1">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row>
    <row r="80" spans="31:56" s="3" customFormat="1" ht="20.100000000000001" customHeight="1">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row>
    <row r="81" spans="31:56" s="3" customFormat="1" ht="20.100000000000001" customHeight="1">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row>
    <row r="82" spans="31:56" s="3" customFormat="1" ht="20.100000000000001" customHeight="1">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row>
    <row r="83" spans="31:56" s="3" customFormat="1" ht="20.100000000000001" customHeight="1">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row>
    <row r="84" spans="31:56" s="3" customFormat="1" ht="20.100000000000001" customHeight="1">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row>
    <row r="85" spans="31:56" s="3" customFormat="1" ht="20.100000000000001" customHeight="1">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row>
    <row r="86" spans="31:56" s="3" customFormat="1" ht="20.100000000000001" customHeight="1">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row>
    <row r="87" spans="31:56" s="3" customFormat="1" ht="20.100000000000001" customHeight="1">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row>
    <row r="88" spans="31:56" s="3" customFormat="1" ht="20.100000000000001" customHeight="1">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row>
    <row r="89" spans="31:56" s="3" customFormat="1" ht="20.100000000000001" customHeight="1">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row>
    <row r="90" spans="31:56" s="3" customFormat="1" ht="20.100000000000001" customHeight="1">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row>
    <row r="91" spans="31:56" s="3" customFormat="1" ht="20.100000000000001" customHeight="1">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row>
    <row r="92" spans="31:56" s="3" customFormat="1" ht="20.100000000000001" customHeight="1">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row>
    <row r="93" spans="31:56" s="3" customFormat="1" ht="20.100000000000001" customHeight="1">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row>
    <row r="94" spans="31:56" s="3" customFormat="1" ht="20.100000000000001" customHeight="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row>
    <row r="95" spans="31:56" s="3" customFormat="1" ht="20.100000000000001" customHeight="1">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row>
    <row r="96" spans="31:56" s="3" customFormat="1" ht="20.100000000000001" customHeight="1">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row>
    <row r="97" spans="31:56" s="3" customFormat="1" ht="20.100000000000001" customHeight="1">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row>
    <row r="98" spans="31:56" s="3" customFormat="1" ht="20.100000000000001" customHeight="1">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row>
    <row r="99" spans="31:56" s="3" customFormat="1" ht="20.100000000000001" customHeight="1">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row>
    <row r="100" spans="31:56" s="3" customFormat="1" ht="20.100000000000001" customHeight="1">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row>
    <row r="101" spans="31:56" s="3" customFormat="1" ht="20.100000000000001" customHeight="1">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row>
    <row r="102" spans="31:56" s="3" customFormat="1" ht="20.100000000000001" customHeight="1">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row>
    <row r="103" spans="31:56" s="3" customFormat="1" ht="20.100000000000001" customHeight="1">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row>
    <row r="104" spans="31:56" s="3" customFormat="1" ht="20.100000000000001" customHeight="1">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row>
    <row r="105" spans="31:56" s="3" customFormat="1" ht="20.100000000000001" customHeight="1">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row>
    <row r="106" spans="31:56" s="3" customFormat="1" ht="20.100000000000001" customHeight="1">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31:56" s="3" customFormat="1" ht="20.100000000000001" customHeight="1">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31:56" s="3" customFormat="1" ht="20.100000000000001" customHeight="1">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row>
    <row r="109" spans="31:56" s="3" customFormat="1" ht="20.100000000000001" customHeight="1">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31:56" s="3" customFormat="1" ht="20.100000000000001" customHeight="1">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31:56" s="3" customFormat="1" ht="20.100000000000001" customHeight="1">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31:56" s="3" customFormat="1" ht="20.100000000000001" customHeight="1">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31:56" s="3" customFormat="1" ht="20.100000000000001" customHeight="1">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31:56" s="3" customFormat="1" ht="20.100000000000001" customHeight="1">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31:56" s="3" customFormat="1" ht="20.100000000000001" customHeight="1">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31:56" s="3" customFormat="1" ht="20.100000000000001" customHeight="1">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31:56" s="3" customFormat="1" ht="20.100000000000001" customHeight="1">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31:56" s="3" customFormat="1" ht="20.100000000000001" customHeight="1">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31:56" s="3" customFormat="1" ht="20.100000000000001" customHeight="1">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31:56" s="3" customFormat="1" ht="20.100000000000001" customHeight="1">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31:56" s="3" customFormat="1" ht="20.100000000000001" customHeight="1">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31:56" s="3" customFormat="1" ht="20.100000000000001" customHeight="1">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31:56" s="3" customFormat="1" ht="20.100000000000001" customHeight="1">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31:56" s="3" customFormat="1" ht="20.100000000000001" customHeight="1">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31:56" s="3" customFormat="1" ht="20.100000000000001" customHeight="1">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31:56" s="3" customFormat="1" ht="20.100000000000001" customHeight="1">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31:56" s="3" customFormat="1" ht="20.100000000000001" customHeight="1">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31:56" s="3" customFormat="1" ht="20.100000000000001" customHeight="1">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31:56" s="3" customFormat="1" ht="20.100000000000001" customHeight="1">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31:56" s="3" customFormat="1" ht="20.100000000000001" customHeight="1">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31:56" s="3" customFormat="1" ht="20.100000000000001" customHeight="1">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31:56" s="3" customFormat="1" ht="20.100000000000001" customHeight="1">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31:56" s="3" customFormat="1" ht="20.100000000000001" customHeight="1">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31:56" s="3" customFormat="1" ht="20.100000000000001" customHeight="1">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31:56" s="3" customFormat="1" ht="20.100000000000001" customHeight="1">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31:56" s="3" customFormat="1" ht="20.100000000000001" customHeight="1">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31:56" s="3" customFormat="1" ht="20.100000000000001" customHeight="1">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31:56" s="3" customFormat="1" ht="20.100000000000001" customHeight="1">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31:56" s="3" customFormat="1" ht="20.100000000000001" customHeight="1">
      <c r="AE139" s="19"/>
      <c r="AF139" s="19"/>
      <c r="AG139" s="19"/>
      <c r="AH139" s="19"/>
      <c r="AI139" s="19"/>
      <c r="AJ139" s="19"/>
      <c r="AK139" s="19"/>
      <c r="AL139" s="19"/>
      <c r="AM139" s="30"/>
      <c r="AN139" s="30"/>
      <c r="AO139" s="30"/>
      <c r="AP139" s="30"/>
      <c r="AQ139" s="19"/>
      <c r="AR139" s="19"/>
      <c r="AS139" s="19"/>
      <c r="AT139" s="19"/>
      <c r="AU139" s="19"/>
      <c r="AV139" s="19"/>
      <c r="AW139" s="19"/>
      <c r="AX139" s="19"/>
      <c r="AY139" s="19"/>
      <c r="AZ139" s="19"/>
      <c r="BA139" s="19"/>
      <c r="BB139" s="19"/>
      <c r="BC139" s="19"/>
      <c r="BD139" s="19"/>
    </row>
    <row r="140" spans="31:56" s="3" customFormat="1" ht="20.100000000000001" customHeight="1">
      <c r="AE140" s="19"/>
      <c r="AF140" s="19"/>
      <c r="AG140" s="19"/>
      <c r="AH140" s="19"/>
      <c r="AI140" s="19"/>
      <c r="AJ140" s="19"/>
      <c r="AK140" s="19"/>
      <c r="AL140" s="19"/>
      <c r="AM140" s="30"/>
      <c r="AN140" s="30"/>
      <c r="AO140" s="30"/>
      <c r="AP140" s="30"/>
      <c r="AQ140" s="19"/>
      <c r="AR140" s="19"/>
      <c r="AS140" s="19"/>
      <c r="AT140" s="19"/>
      <c r="AU140" s="19"/>
      <c r="AV140" s="19"/>
      <c r="AW140" s="19"/>
      <c r="AX140" s="19"/>
      <c r="AY140" s="19"/>
      <c r="AZ140" s="19"/>
      <c r="BA140" s="19"/>
      <c r="BB140" s="19"/>
      <c r="BC140" s="19"/>
      <c r="BD140" s="19"/>
    </row>
    <row r="141" spans="31:56" s="3" customFormat="1" ht="20.100000000000001" customHeight="1">
      <c r="AE141" s="19"/>
      <c r="AF141" s="19"/>
      <c r="AG141" s="19"/>
      <c r="AH141" s="19"/>
      <c r="AI141" s="19"/>
      <c r="AJ141" s="19"/>
      <c r="AK141" s="19"/>
      <c r="AL141" s="19"/>
      <c r="AM141" s="30"/>
      <c r="AN141" s="30"/>
      <c r="AO141" s="30"/>
      <c r="AP141" s="30"/>
      <c r="AQ141" s="19"/>
      <c r="AR141" s="19"/>
      <c r="AS141" s="19"/>
      <c r="AT141" s="19"/>
      <c r="AU141" s="19"/>
      <c r="AV141" s="19"/>
      <c r="AW141" s="19"/>
      <c r="AX141" s="19"/>
      <c r="AY141" s="19"/>
      <c r="AZ141" s="19"/>
      <c r="BA141" s="19"/>
      <c r="BB141" s="19"/>
      <c r="BC141" s="19"/>
      <c r="BD141" s="19"/>
    </row>
    <row r="142" spans="31:56" s="3" customFormat="1" ht="20.100000000000001" customHeight="1">
      <c r="AE142" s="19"/>
      <c r="AF142" s="19"/>
      <c r="AG142" s="19"/>
      <c r="AH142" s="19"/>
      <c r="AI142" s="19"/>
      <c r="AJ142" s="19"/>
      <c r="AK142" s="19"/>
      <c r="AL142" s="19"/>
      <c r="AM142" s="30"/>
      <c r="AN142" s="30"/>
      <c r="AO142" s="30"/>
      <c r="AP142" s="30"/>
      <c r="AQ142" s="19"/>
      <c r="AR142" s="19"/>
      <c r="AS142" s="19"/>
      <c r="AT142" s="19"/>
      <c r="AU142" s="19"/>
      <c r="AV142" s="19"/>
      <c r="AW142" s="19"/>
      <c r="AX142" s="19"/>
      <c r="AY142" s="19"/>
      <c r="AZ142" s="19"/>
      <c r="BA142" s="19"/>
      <c r="BB142" s="19"/>
      <c r="BC142" s="19"/>
      <c r="BD142" s="19"/>
    </row>
    <row r="143" spans="31:56" s="3" customFormat="1" ht="20.100000000000001" customHeight="1">
      <c r="AE143" s="19"/>
      <c r="AF143" s="19"/>
      <c r="AG143" s="19"/>
      <c r="AH143" s="19"/>
      <c r="AI143" s="19"/>
      <c r="AJ143" s="19"/>
      <c r="AK143" s="19"/>
      <c r="AL143" s="19"/>
      <c r="AM143" s="30"/>
      <c r="AN143" s="30"/>
      <c r="AO143" s="30"/>
      <c r="AP143" s="30"/>
      <c r="AQ143" s="19"/>
      <c r="AR143" s="19"/>
      <c r="AS143" s="19"/>
      <c r="AT143" s="19"/>
      <c r="AU143" s="19"/>
      <c r="AV143" s="19"/>
      <c r="AW143" s="19"/>
      <c r="AX143" s="19"/>
      <c r="AY143" s="19"/>
      <c r="AZ143" s="19"/>
      <c r="BA143" s="19"/>
      <c r="BB143" s="19"/>
      <c r="BC143" s="19"/>
      <c r="BD143" s="19"/>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algorithmName="SHA-512" hashValue="uPkhh1FvkCwcghM0zdwf/vdQzduDzontXeuqugV8z+IraetSXfKR5h+x2jnmTx6asZRsfKkeZK02H2SjXtjYYQ==" saltValue="Q0j4WpkDpDGwBGbrkohogA==" spinCount="100000" sheet="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B22:G29">
    <cfRule type="expression" dxfId="12" priority="38">
      <formula>$AE$2&lt;&gt;2</formula>
    </cfRule>
  </conditionalFormatting>
  <conditionalFormatting sqref="B7:I14">
    <cfRule type="expression" dxfId="11" priority="283" stopIfTrue="1">
      <formula>$AE$2&lt;&gt;2</formula>
    </cfRule>
  </conditionalFormatting>
  <conditionalFormatting sqref="B35:P44">
    <cfRule type="expression" dxfId="10" priority="61" stopIfTrue="1">
      <formula>$AE$2&lt;&gt;2</formula>
    </cfRule>
  </conditionalFormatting>
  <conditionalFormatting sqref="H30:J30">
    <cfRule type="expression" dxfId="9" priority="36">
      <formula>$AE$2&lt;&gt;2</formula>
    </cfRule>
  </conditionalFormatting>
  <conditionalFormatting sqref="H45:J45">
    <cfRule type="expression" dxfId="8" priority="4">
      <formula>$AE$2&lt;&gt;2</formula>
    </cfRule>
  </conditionalFormatting>
  <conditionalFormatting sqref="H22:P29">
    <cfRule type="expression" dxfId="7" priority="211" stopIfTrue="1">
      <formula>$AE$2&lt;&gt;2</formula>
    </cfRule>
  </conditionalFormatting>
  <conditionalFormatting sqref="J3">
    <cfRule type="expression" dxfId="6" priority="348" stopIfTrue="1">
      <formula>$AE$2&lt;&gt;2</formula>
    </cfRule>
  </conditionalFormatting>
  <conditionalFormatting sqref="O3">
    <cfRule type="expression" dxfId="5" priority="347" stopIfTrue="1">
      <formula>$AE$2&lt;&gt;2</formula>
    </cfRule>
  </conditionalFormatting>
  <conditionalFormatting sqref="Q22:S30">
    <cfRule type="expression" dxfId="4" priority="35">
      <formula>$AE$2&lt;&gt;2</formula>
    </cfRule>
  </conditionalFormatting>
  <conditionalFormatting sqref="Q35:Y45">
    <cfRule type="expression" dxfId="3"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view="pageBreakPreview" zoomScale="85" zoomScaleNormal="100" zoomScaleSheetLayoutView="85" workbookViewId="0">
      <selection activeCell="K6" sqref="K6:AC6"/>
    </sheetView>
  </sheetViews>
  <sheetFormatPr defaultColWidth="9" defaultRowHeight="13.5"/>
  <cols>
    <col min="1" max="26" width="4.125" style="58" customWidth="1"/>
    <col min="27" max="29" width="2.5" style="58" customWidth="1"/>
    <col min="30" max="30" width="4.125" style="58" customWidth="1"/>
    <col min="31" max="35" width="4.125" style="58" hidden="1" customWidth="1"/>
    <col min="36" max="36" width="6" style="58" hidden="1" customWidth="1"/>
    <col min="37" max="37" width="4.125" style="58" hidden="1" customWidth="1"/>
    <col min="38" max="45" width="4.125" style="58" customWidth="1"/>
    <col min="46" max="16384" width="9" style="58"/>
  </cols>
  <sheetData>
    <row r="1" spans="1:37" ht="27.75" customHeight="1">
      <c r="A1" s="535" t="s">
        <v>220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37" ht="81" customHeight="1">
      <c r="A2" s="536" t="s">
        <v>280</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E2" s="83">
        <f>共通条件・結果!AE2</f>
        <v>1</v>
      </c>
    </row>
    <row r="3" spans="1:37" ht="26.25"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2" t="s">
        <v>271</v>
      </c>
      <c r="AF3" s="60"/>
      <c r="AG3" s="60"/>
      <c r="AH3" s="60"/>
      <c r="AI3" s="60"/>
      <c r="AJ3" s="60"/>
      <c r="AK3" s="60"/>
    </row>
    <row r="4" spans="1:37" ht="26.25" customHeight="1">
      <c r="A4" s="538" t="s">
        <v>34</v>
      </c>
      <c r="B4" s="530"/>
      <c r="C4" s="530" t="s">
        <v>35</v>
      </c>
      <c r="D4" s="530"/>
      <c r="E4" s="530"/>
      <c r="F4" s="530"/>
      <c r="G4" s="529" t="s">
        <v>221</v>
      </c>
      <c r="H4" s="530"/>
      <c r="I4" s="529" t="s">
        <v>222</v>
      </c>
      <c r="J4" s="530"/>
      <c r="K4" s="529" t="s">
        <v>223</v>
      </c>
      <c r="L4" s="530"/>
      <c r="M4" s="529" t="s">
        <v>224</v>
      </c>
      <c r="N4" s="530"/>
      <c r="O4" s="529" t="s">
        <v>225</v>
      </c>
      <c r="P4" s="529"/>
      <c r="Q4" s="529" t="s">
        <v>226</v>
      </c>
      <c r="R4" s="529"/>
      <c r="S4" s="529" t="s">
        <v>227</v>
      </c>
      <c r="T4" s="530"/>
      <c r="U4" s="529" t="s">
        <v>228</v>
      </c>
      <c r="V4" s="530"/>
      <c r="W4" s="529" t="s">
        <v>229</v>
      </c>
      <c r="X4" s="530"/>
      <c r="Y4" s="529" t="s">
        <v>230</v>
      </c>
      <c r="Z4" s="530"/>
      <c r="AA4" s="529" t="s">
        <v>294</v>
      </c>
      <c r="AB4" s="530"/>
      <c r="AC4" s="532"/>
      <c r="AD4" s="60"/>
      <c r="AE4" s="60"/>
      <c r="AF4" s="534"/>
      <c r="AG4" s="534"/>
      <c r="AH4" s="534"/>
      <c r="AI4" s="534"/>
      <c r="AJ4" s="534"/>
      <c r="AK4" s="60"/>
    </row>
    <row r="5" spans="1:37" ht="26.25" customHeight="1" thickBot="1">
      <c r="A5" s="539"/>
      <c r="B5" s="531"/>
      <c r="C5" s="531"/>
      <c r="D5" s="531"/>
      <c r="E5" s="531"/>
      <c r="F5" s="531"/>
      <c r="G5" s="531"/>
      <c r="H5" s="531"/>
      <c r="I5" s="531"/>
      <c r="J5" s="531"/>
      <c r="K5" s="531"/>
      <c r="L5" s="531"/>
      <c r="M5" s="531"/>
      <c r="N5" s="531"/>
      <c r="O5" s="540"/>
      <c r="P5" s="540"/>
      <c r="Q5" s="540"/>
      <c r="R5" s="540"/>
      <c r="S5" s="531"/>
      <c r="T5" s="531"/>
      <c r="U5" s="531"/>
      <c r="V5" s="531"/>
      <c r="W5" s="531"/>
      <c r="X5" s="531"/>
      <c r="Y5" s="531"/>
      <c r="Z5" s="531"/>
      <c r="AA5" s="531"/>
      <c r="AB5" s="531"/>
      <c r="AC5" s="533"/>
      <c r="AD5" s="60"/>
      <c r="AE5" s="61" t="s">
        <v>231</v>
      </c>
      <c r="AF5" s="62" t="s">
        <v>232</v>
      </c>
      <c r="AG5" s="63" t="s">
        <v>233</v>
      </c>
      <c r="AH5" s="62" t="s">
        <v>234</v>
      </c>
      <c r="AI5" s="62" t="s">
        <v>235</v>
      </c>
      <c r="AJ5" s="62" t="s">
        <v>236</v>
      </c>
      <c r="AK5" s="60"/>
    </row>
    <row r="6" spans="1:37" ht="26.25" customHeight="1">
      <c r="A6" s="526"/>
      <c r="B6" s="527"/>
      <c r="C6" s="528"/>
      <c r="D6" s="528"/>
      <c r="E6" s="528"/>
      <c r="F6" s="528"/>
      <c r="G6" s="524"/>
      <c r="H6" s="524"/>
      <c r="I6" s="524"/>
      <c r="J6" s="524"/>
      <c r="K6" s="524"/>
      <c r="L6" s="524"/>
      <c r="M6" s="524"/>
      <c r="N6" s="524"/>
      <c r="O6" s="524"/>
      <c r="P6" s="524"/>
      <c r="Q6" s="524"/>
      <c r="R6" s="524"/>
      <c r="S6" s="524"/>
      <c r="T6" s="524"/>
      <c r="U6" s="524"/>
      <c r="V6" s="524"/>
      <c r="W6" s="524"/>
      <c r="X6" s="524"/>
      <c r="Y6" s="525" t="str">
        <f>IF(Q6="","",IF(-1&lt;=Q6,"(1)",IF(G6+M6&gt;=3,"(3)1","(3)2")))</f>
        <v/>
      </c>
      <c r="Z6" s="525"/>
      <c r="AA6" s="522" t="str">
        <f>IF(Q6="","",IF(IF(Y6="(1)",AF6,AH6)&lt;0.05,"0.05",IF(Y6="(1)",AF6,AH6)))</f>
        <v/>
      </c>
      <c r="AB6" s="522"/>
      <c r="AC6" s="523"/>
      <c r="AD6" s="60"/>
      <c r="AE6" s="61">
        <f>IF(O6&gt;0.4,"0.4",O6)</f>
        <v>0</v>
      </c>
      <c r="AF6" s="61">
        <f>1.8-1.36*(G6*(AE6+S6)+M6*(AE6-Q6))^0.15-0.01*(6.14-G6)*((I6+0.5*K6)*AG6)^0.5</f>
        <v>1.8</v>
      </c>
      <c r="AG6" s="61">
        <f>IF(MAX(U6,W6)&lt;=0.9,MAX(U6,W6),"0.9")</f>
        <v>0</v>
      </c>
      <c r="AH6" s="61">
        <f>IF((G6+M6)&gt;=3,AI6,AJ6)</f>
        <v>1.8</v>
      </c>
      <c r="AI6" s="61">
        <f>1.8-1.47*(G6+M6)^0.08</f>
        <v>1.8</v>
      </c>
      <c r="AJ6" s="61">
        <f>1.8-1.36*(G6+M6)^0.15</f>
        <v>1.8</v>
      </c>
      <c r="AK6" s="60"/>
    </row>
    <row r="7" spans="1:37" ht="26.25" customHeight="1">
      <c r="A7" s="519"/>
      <c r="B7" s="520"/>
      <c r="C7" s="521"/>
      <c r="D7" s="521"/>
      <c r="E7" s="521"/>
      <c r="F7" s="521"/>
      <c r="G7" s="516"/>
      <c r="H7" s="516"/>
      <c r="I7" s="516"/>
      <c r="J7" s="516"/>
      <c r="K7" s="516"/>
      <c r="L7" s="516"/>
      <c r="M7" s="516"/>
      <c r="N7" s="516"/>
      <c r="O7" s="516"/>
      <c r="P7" s="516"/>
      <c r="Q7" s="516"/>
      <c r="R7" s="516"/>
      <c r="S7" s="516"/>
      <c r="T7" s="516"/>
      <c r="U7" s="516"/>
      <c r="V7" s="516"/>
      <c r="W7" s="516"/>
      <c r="X7" s="516"/>
      <c r="Y7" s="517" t="str">
        <f>IF(Q7="","",IF(-1&lt;=Q7,"(1)",IF(G7+M7&gt;=3,"(3)1","(3)2")))</f>
        <v/>
      </c>
      <c r="Z7" s="518"/>
      <c r="AA7" s="511" t="str">
        <f t="shared" ref="AA7:AA13" si="0">IF(Q7="","",IF(IF(Y7="(1)",AF7,AH7)&lt;0.05,"0.05",IF(Y7="(1)",AF7,AH7)))</f>
        <v/>
      </c>
      <c r="AB7" s="511"/>
      <c r="AC7" s="512"/>
      <c r="AD7" s="60"/>
      <c r="AE7" s="61">
        <f>IF(O7&gt;0.4,"0.4",O7)</f>
        <v>0</v>
      </c>
      <c r="AF7" s="61">
        <f>1.8-1.36*(G7*(AE7+S7)+M7*(AE7-Q7))^0.15-0.01*(6.14-G7)*((I7+0.5*K7)*AG7)^0.5</f>
        <v>1.8</v>
      </c>
      <c r="AG7" s="61">
        <f>IF(MAX(U7,W7)&lt;=0.9,MAX(U7,W7),"0.9")</f>
        <v>0</v>
      </c>
      <c r="AH7" s="61">
        <f>IF((G7+M7)&gt;=3,AI7,AJ7)</f>
        <v>1.8</v>
      </c>
      <c r="AI7" s="61">
        <f>1.8-1.47*(G7+M7)^0.08</f>
        <v>1.8</v>
      </c>
      <c r="AJ7" s="61">
        <f>1.8-1.36*(G7+M7)^0.15</f>
        <v>1.8</v>
      </c>
      <c r="AK7" s="60"/>
    </row>
    <row r="8" spans="1:37" ht="26.25" customHeight="1">
      <c r="A8" s="519"/>
      <c r="B8" s="520"/>
      <c r="C8" s="521"/>
      <c r="D8" s="521"/>
      <c r="E8" s="521"/>
      <c r="F8" s="521"/>
      <c r="G8" s="516"/>
      <c r="H8" s="516"/>
      <c r="I8" s="516"/>
      <c r="J8" s="516"/>
      <c r="K8" s="516"/>
      <c r="L8" s="516"/>
      <c r="M8" s="516"/>
      <c r="N8" s="516"/>
      <c r="O8" s="516"/>
      <c r="P8" s="516"/>
      <c r="Q8" s="516"/>
      <c r="R8" s="516"/>
      <c r="S8" s="516"/>
      <c r="T8" s="516"/>
      <c r="U8" s="516"/>
      <c r="V8" s="516"/>
      <c r="W8" s="516"/>
      <c r="X8" s="516"/>
      <c r="Y8" s="517" t="str">
        <f t="shared" ref="Y8:Y13" si="1">IF(Q8="","",IF(-1&lt;=Q8,"(1)",IF(G8+M8&gt;=3,"(3)1","(3)2")))</f>
        <v/>
      </c>
      <c r="Z8" s="518"/>
      <c r="AA8" s="511" t="str">
        <f t="shared" si="0"/>
        <v/>
      </c>
      <c r="AB8" s="511"/>
      <c r="AC8" s="512"/>
      <c r="AD8" s="60"/>
      <c r="AE8" s="61">
        <f>IF(O8&gt;0.4,"0.4",O8)</f>
        <v>0</v>
      </c>
      <c r="AF8" s="61">
        <f>1.8-1.36*(G8*(AE8+S8)+M8*(AE8-Q8))^0.15-0.01*(6.14-G8)*((I8+0.5*K8)*AG8)^0.5</f>
        <v>1.8</v>
      </c>
      <c r="AG8" s="61">
        <f>IF(MAX(U8,W8)&lt;=0.9,MAX(U8,W8),"0.9")</f>
        <v>0</v>
      </c>
      <c r="AH8" s="61">
        <f>IF((G8+M8)&gt;=3,AI8,AJ8)</f>
        <v>1.8</v>
      </c>
      <c r="AI8" s="61">
        <f>1.8-1.47*(G8+M8)^0.08</f>
        <v>1.8</v>
      </c>
      <c r="AJ8" s="61">
        <f>1.8-1.36*(G8+M8)^0.15</f>
        <v>1.8</v>
      </c>
      <c r="AK8" s="60"/>
    </row>
    <row r="9" spans="1:37" ht="26.25" customHeight="1">
      <c r="A9" s="519"/>
      <c r="B9" s="520"/>
      <c r="C9" s="521"/>
      <c r="D9" s="521"/>
      <c r="E9" s="521"/>
      <c r="F9" s="521"/>
      <c r="G9" s="516"/>
      <c r="H9" s="516"/>
      <c r="I9" s="516"/>
      <c r="J9" s="516"/>
      <c r="K9" s="516"/>
      <c r="L9" s="516"/>
      <c r="M9" s="516"/>
      <c r="N9" s="516"/>
      <c r="O9" s="516"/>
      <c r="P9" s="516"/>
      <c r="Q9" s="516"/>
      <c r="R9" s="516"/>
      <c r="S9" s="516"/>
      <c r="T9" s="516"/>
      <c r="U9" s="516"/>
      <c r="V9" s="516"/>
      <c r="W9" s="516"/>
      <c r="X9" s="516"/>
      <c r="Y9" s="517" t="str">
        <f t="shared" si="1"/>
        <v/>
      </c>
      <c r="Z9" s="518"/>
      <c r="AA9" s="511" t="str">
        <f t="shared" si="0"/>
        <v/>
      </c>
      <c r="AB9" s="511"/>
      <c r="AC9" s="512"/>
      <c r="AD9" s="60"/>
      <c r="AE9" s="61">
        <f t="shared" ref="AE9:AE11" si="2">IF(O9&gt;0.4,"0.4",O9)</f>
        <v>0</v>
      </c>
      <c r="AF9" s="61">
        <f t="shared" ref="AF9:AF11" si="3">1.8-1.36*(G9*(AE9+S9)+M9*(AE9-Q9))^0.15-0.01*(6.14-G9)*((I9+0.5*K9)*AG9)^0.5</f>
        <v>1.8</v>
      </c>
      <c r="AG9" s="61">
        <f t="shared" ref="AG9:AG11" si="4">IF(MAX(U9,W9)&lt;=0.9,MAX(U9,W9),"0.9")</f>
        <v>0</v>
      </c>
      <c r="AH9" s="61">
        <f t="shared" ref="AH9:AH11" si="5">IF((G9+M9)&gt;=3,AI9,AJ9)</f>
        <v>1.8</v>
      </c>
      <c r="AI9" s="61">
        <f t="shared" ref="AI9:AI11" si="6">1.8-1.47*(G9+M9)^0.08</f>
        <v>1.8</v>
      </c>
      <c r="AJ9" s="61">
        <f t="shared" ref="AJ9:AJ11" si="7">1.8-1.36*(G9+M9)^0.15</f>
        <v>1.8</v>
      </c>
      <c r="AK9" s="60"/>
    </row>
    <row r="10" spans="1:37" ht="26.25" customHeight="1">
      <c r="A10" s="519"/>
      <c r="B10" s="520"/>
      <c r="C10" s="521"/>
      <c r="D10" s="521"/>
      <c r="E10" s="521"/>
      <c r="F10" s="521"/>
      <c r="G10" s="516"/>
      <c r="H10" s="516"/>
      <c r="I10" s="516"/>
      <c r="J10" s="516"/>
      <c r="K10" s="516"/>
      <c r="L10" s="516"/>
      <c r="M10" s="516"/>
      <c r="N10" s="516"/>
      <c r="O10" s="516"/>
      <c r="P10" s="516"/>
      <c r="Q10" s="516"/>
      <c r="R10" s="516"/>
      <c r="S10" s="516"/>
      <c r="T10" s="516"/>
      <c r="U10" s="516"/>
      <c r="V10" s="516"/>
      <c r="W10" s="516"/>
      <c r="X10" s="516"/>
      <c r="Y10" s="517" t="str">
        <f t="shared" si="1"/>
        <v/>
      </c>
      <c r="Z10" s="518"/>
      <c r="AA10" s="511" t="str">
        <f t="shared" si="0"/>
        <v/>
      </c>
      <c r="AB10" s="511"/>
      <c r="AC10" s="512"/>
      <c r="AD10" s="60"/>
      <c r="AE10" s="61">
        <f t="shared" si="2"/>
        <v>0</v>
      </c>
      <c r="AF10" s="61">
        <f t="shared" si="3"/>
        <v>1.8</v>
      </c>
      <c r="AG10" s="61">
        <f t="shared" si="4"/>
        <v>0</v>
      </c>
      <c r="AH10" s="61">
        <f t="shared" si="5"/>
        <v>1.8</v>
      </c>
      <c r="AI10" s="61">
        <f t="shared" si="6"/>
        <v>1.8</v>
      </c>
      <c r="AJ10" s="61">
        <f t="shared" si="7"/>
        <v>1.8</v>
      </c>
      <c r="AK10" s="60"/>
    </row>
    <row r="11" spans="1:37" ht="26.25" customHeight="1">
      <c r="A11" s="519"/>
      <c r="B11" s="520"/>
      <c r="C11" s="521"/>
      <c r="D11" s="521"/>
      <c r="E11" s="521"/>
      <c r="F11" s="521"/>
      <c r="G11" s="516"/>
      <c r="H11" s="516"/>
      <c r="I11" s="516"/>
      <c r="J11" s="516"/>
      <c r="K11" s="516"/>
      <c r="L11" s="516"/>
      <c r="M11" s="516"/>
      <c r="N11" s="516"/>
      <c r="O11" s="516"/>
      <c r="P11" s="516"/>
      <c r="Q11" s="516"/>
      <c r="R11" s="516"/>
      <c r="S11" s="516"/>
      <c r="T11" s="516"/>
      <c r="U11" s="516"/>
      <c r="V11" s="516"/>
      <c r="W11" s="516"/>
      <c r="X11" s="516"/>
      <c r="Y11" s="517" t="str">
        <f t="shared" si="1"/>
        <v/>
      </c>
      <c r="Z11" s="518"/>
      <c r="AA11" s="511" t="str">
        <f t="shared" si="0"/>
        <v/>
      </c>
      <c r="AB11" s="511"/>
      <c r="AC11" s="512"/>
      <c r="AD11" s="60"/>
      <c r="AE11" s="61">
        <f t="shared" si="2"/>
        <v>0</v>
      </c>
      <c r="AF11" s="61">
        <f t="shared" si="3"/>
        <v>1.8</v>
      </c>
      <c r="AG11" s="61">
        <f t="shared" si="4"/>
        <v>0</v>
      </c>
      <c r="AH11" s="61">
        <f t="shared" si="5"/>
        <v>1.8</v>
      </c>
      <c r="AI11" s="61">
        <f t="shared" si="6"/>
        <v>1.8</v>
      </c>
      <c r="AJ11" s="61">
        <f t="shared" si="7"/>
        <v>1.8</v>
      </c>
      <c r="AK11" s="60"/>
    </row>
    <row r="12" spans="1:37" ht="26.25" customHeight="1">
      <c r="A12" s="519"/>
      <c r="B12" s="520"/>
      <c r="C12" s="521"/>
      <c r="D12" s="521"/>
      <c r="E12" s="521"/>
      <c r="F12" s="521"/>
      <c r="G12" s="516"/>
      <c r="H12" s="516"/>
      <c r="I12" s="516"/>
      <c r="J12" s="516"/>
      <c r="K12" s="516"/>
      <c r="L12" s="516"/>
      <c r="M12" s="516"/>
      <c r="N12" s="516"/>
      <c r="O12" s="516"/>
      <c r="P12" s="516"/>
      <c r="Q12" s="516"/>
      <c r="R12" s="516"/>
      <c r="S12" s="516"/>
      <c r="T12" s="516"/>
      <c r="U12" s="516"/>
      <c r="V12" s="516"/>
      <c r="W12" s="516"/>
      <c r="X12" s="516"/>
      <c r="Y12" s="517" t="str">
        <f t="shared" si="1"/>
        <v/>
      </c>
      <c r="Z12" s="518"/>
      <c r="AA12" s="511" t="str">
        <f t="shared" si="0"/>
        <v/>
      </c>
      <c r="AB12" s="511"/>
      <c r="AC12" s="512"/>
      <c r="AD12" s="60"/>
      <c r="AE12" s="61">
        <f>IF(O12&gt;0.4,"0.4",O12)</f>
        <v>0</v>
      </c>
      <c r="AF12" s="61">
        <f>1.8-1.36*(G12*(AE12+S12)+M12*(AE12-Q12))^0.15-0.01*(6.14-G12)*((I12+0.5*K12)*AG12)^0.5</f>
        <v>1.8</v>
      </c>
      <c r="AG12" s="61">
        <f>IF(MAX(U12,W12)&lt;=0.9,MAX(U12,W12),"0.9")</f>
        <v>0</v>
      </c>
      <c r="AH12" s="61">
        <f>IF((G12+M12)&gt;=3,AI12,AJ12)</f>
        <v>1.8</v>
      </c>
      <c r="AI12" s="61">
        <f>1.8-1.47*(G12+M12)^0.08</f>
        <v>1.8</v>
      </c>
      <c r="AJ12" s="61">
        <f>1.8-1.36*(G12+M12)^0.15</f>
        <v>1.8</v>
      </c>
      <c r="AK12" s="60"/>
    </row>
    <row r="13" spans="1:37" ht="26.25" customHeight="1" thickBot="1">
      <c r="A13" s="513"/>
      <c r="B13" s="514"/>
      <c r="C13" s="515"/>
      <c r="D13" s="515"/>
      <c r="E13" s="515"/>
      <c r="F13" s="515"/>
      <c r="G13" s="506"/>
      <c r="H13" s="506"/>
      <c r="I13" s="506"/>
      <c r="J13" s="506"/>
      <c r="K13" s="506"/>
      <c r="L13" s="506"/>
      <c r="M13" s="506"/>
      <c r="N13" s="506"/>
      <c r="O13" s="506"/>
      <c r="P13" s="506"/>
      <c r="Q13" s="506"/>
      <c r="R13" s="506"/>
      <c r="S13" s="506"/>
      <c r="T13" s="506"/>
      <c r="U13" s="506"/>
      <c r="V13" s="506"/>
      <c r="W13" s="506"/>
      <c r="X13" s="506"/>
      <c r="Y13" s="507" t="str">
        <f t="shared" si="1"/>
        <v/>
      </c>
      <c r="Z13" s="508"/>
      <c r="AA13" s="509" t="str">
        <f t="shared" si="0"/>
        <v/>
      </c>
      <c r="AB13" s="509"/>
      <c r="AC13" s="510"/>
      <c r="AD13" s="60"/>
      <c r="AE13" s="61">
        <f>IF(O13&gt;0.4,"0.4",O13)</f>
        <v>0</v>
      </c>
      <c r="AF13" s="61">
        <f>1.8-1.36*(G13*(AE13+S13)+M13*(AE13-Q13))^0.15-0.01*(6.14-G13)*((I13+0.5*K13)*AG13)^0.5</f>
        <v>1.8</v>
      </c>
      <c r="AG13" s="61">
        <f>IF(MAX(U13,W13)&lt;=0.9,MAX(U13,W13),"0.9")</f>
        <v>0</v>
      </c>
      <c r="AH13" s="61">
        <f>IF((G13+M13)&gt;=3,AI13,AJ13)</f>
        <v>1.8</v>
      </c>
      <c r="AI13" s="61">
        <f>1.8-1.47*(G13+M13)^0.08</f>
        <v>1.8</v>
      </c>
      <c r="AJ13" s="61">
        <f>1.8-1.36*(G13+M13)^0.15</f>
        <v>1.8</v>
      </c>
      <c r="AK13" s="60"/>
    </row>
    <row r="14" spans="1:37" ht="26.25" customHeight="1">
      <c r="A14" s="60" t="s">
        <v>237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row>
    <row r="15" spans="1:37" ht="26.25" customHeight="1">
      <c r="A15" s="60" t="s">
        <v>293</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row>
    <row r="16" spans="1:37">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sheetData>
  <sheetProtection algorithmName="SHA-512" hashValue="GyAmdbeUShiqwn+JHI69VryJLT6/Gq2IQohilKZyRFTBFzA4NUxUpj6YMzH4ArtLbieBhPloNbNmZrSsw7EW/Q==" saltValue="hp0Uqz2WcVTqqL+IRAIX/A==" spinCount="100000" sheet="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X13">
    <cfRule type="expression" dxfId="2" priority="10" stopIfTrue="1">
      <formula>$AE$2&lt;&gt;2</formula>
    </cfRule>
  </conditionalFormatting>
  <conditionalFormatting sqref="Y6: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2.5</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view="pageBreakPreview" zoomScale="85" zoomScaleNormal="55" zoomScaleSheetLayoutView="85" workbookViewId="0">
      <selection activeCell="K6" sqref="K6:AC6"/>
    </sheetView>
  </sheetViews>
  <sheetFormatPr defaultRowHeight="13.5"/>
  <sheetData/>
  <sheetProtection algorithmName="SHA-512" hashValue="PSzMktZTnqt/K7tYmt4P6azO2onH5Z0XzS+rm99J+jNOFVxPJraxqD+xxs5ZzvXzc49chQMDByenELQXTvqVqA==" saltValue="nC9q9BolzECUl4oLo0U93Q==" spinCount="100000" sheet="1" objects="1" scenarios="1"/>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rowBreaks count="2" manualBreakCount="2">
    <brk id="58" max="10" man="1"/>
    <brk id="114"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4"/>
  <sheetViews>
    <sheetView view="pageBreakPreview" zoomScale="115" zoomScaleNormal="70" zoomScaleSheetLayoutView="115" workbookViewId="0">
      <selection activeCell="K6" sqref="K6:AC6"/>
    </sheetView>
  </sheetViews>
  <sheetFormatPr defaultColWidth="9" defaultRowHeight="12"/>
  <cols>
    <col min="1" max="1" width="0.875" style="23" customWidth="1"/>
    <col min="2" max="2" width="21.125" style="23" customWidth="1"/>
    <col min="3" max="3" width="3.5" style="53" bestFit="1" customWidth="1"/>
    <col min="4" max="4" width="20.375" style="23" customWidth="1"/>
    <col min="5" max="5" width="48.25" style="23" customWidth="1"/>
    <col min="6" max="6" width="12.75" style="23" bestFit="1" customWidth="1"/>
    <col min="7" max="7" width="0.875" style="23" customWidth="1"/>
    <col min="8" max="16384" width="9" style="23"/>
  </cols>
  <sheetData>
    <row r="2" spans="2:6">
      <c r="B2" s="23" t="s">
        <v>156</v>
      </c>
    </row>
    <row r="3" spans="2:6" s="53" customFormat="1" ht="24">
      <c r="B3" s="52" t="s">
        <v>157</v>
      </c>
      <c r="C3" s="39" t="s">
        <v>158</v>
      </c>
      <c r="D3" s="40" t="s">
        <v>159</v>
      </c>
      <c r="E3" s="41" t="s">
        <v>66</v>
      </c>
      <c r="F3" s="51" t="s">
        <v>160</v>
      </c>
    </row>
    <row r="4" spans="2:6">
      <c r="B4" s="542" t="s">
        <v>161</v>
      </c>
      <c r="C4" s="107" t="s">
        <v>162</v>
      </c>
      <c r="D4" s="42" t="s">
        <v>164</v>
      </c>
      <c r="E4" s="43" t="s">
        <v>163</v>
      </c>
      <c r="F4" s="546">
        <v>44298</v>
      </c>
    </row>
    <row r="5" spans="2:6">
      <c r="B5" s="267"/>
      <c r="C5" s="109" t="s">
        <v>166</v>
      </c>
      <c r="D5" s="54" t="s">
        <v>165</v>
      </c>
      <c r="E5" s="110" t="s">
        <v>168</v>
      </c>
      <c r="F5" s="547"/>
    </row>
    <row r="6" spans="2:6">
      <c r="B6" s="267"/>
      <c r="C6" s="111" t="s">
        <v>170</v>
      </c>
      <c r="D6" s="105" t="s">
        <v>167</v>
      </c>
      <c r="E6" s="112" t="s">
        <v>169</v>
      </c>
      <c r="F6" s="547"/>
    </row>
    <row r="7" spans="2:6">
      <c r="B7" s="154" t="s">
        <v>210</v>
      </c>
      <c r="C7" s="107" t="s">
        <v>162</v>
      </c>
      <c r="D7" s="42" t="s">
        <v>164</v>
      </c>
      <c r="E7" s="114" t="s">
        <v>211</v>
      </c>
      <c r="F7" s="546">
        <v>44424</v>
      </c>
    </row>
    <row r="8" spans="2:6">
      <c r="B8" s="154"/>
      <c r="C8" s="109" t="s">
        <v>166</v>
      </c>
      <c r="D8" s="54" t="s">
        <v>217</v>
      </c>
      <c r="E8" s="55" t="s">
        <v>218</v>
      </c>
      <c r="F8" s="547"/>
    </row>
    <row r="9" spans="2:6">
      <c r="B9" s="154"/>
      <c r="C9" s="109" t="s">
        <v>216</v>
      </c>
      <c r="D9" s="54" t="s">
        <v>213</v>
      </c>
      <c r="E9" s="55" t="s">
        <v>219</v>
      </c>
      <c r="F9" s="547"/>
    </row>
    <row r="10" spans="2:6">
      <c r="B10" s="154"/>
      <c r="C10" s="111" t="s">
        <v>243</v>
      </c>
      <c r="D10" s="105" t="s">
        <v>213</v>
      </c>
      <c r="E10" s="117" t="s">
        <v>214</v>
      </c>
      <c r="F10" s="543"/>
    </row>
    <row r="11" spans="2:6">
      <c r="B11" s="542" t="s">
        <v>265</v>
      </c>
      <c r="C11" s="113" t="s">
        <v>162</v>
      </c>
      <c r="D11" s="42" t="s">
        <v>254</v>
      </c>
      <c r="E11" s="114" t="s">
        <v>255</v>
      </c>
      <c r="F11" s="546">
        <v>44637</v>
      </c>
    </row>
    <row r="12" spans="2:6">
      <c r="B12" s="269"/>
      <c r="C12" s="116" t="s">
        <v>212</v>
      </c>
      <c r="D12" s="54" t="s">
        <v>215</v>
      </c>
      <c r="E12" s="55" t="s">
        <v>259</v>
      </c>
      <c r="F12" s="547"/>
    </row>
    <row r="13" spans="2:6">
      <c r="B13" s="269"/>
      <c r="C13" s="116" t="s">
        <v>216</v>
      </c>
      <c r="D13" s="54" t="s">
        <v>244</v>
      </c>
      <c r="E13" s="55" t="s">
        <v>245</v>
      </c>
      <c r="F13" s="547"/>
    </row>
    <row r="14" spans="2:6">
      <c r="B14" s="269"/>
      <c r="C14" s="116" t="s">
        <v>243</v>
      </c>
      <c r="D14" s="54" t="s">
        <v>217</v>
      </c>
      <c r="E14" s="55" t="s">
        <v>262</v>
      </c>
      <c r="F14" s="547"/>
    </row>
    <row r="15" spans="2:6">
      <c r="B15" s="543"/>
      <c r="C15" s="111" t="s">
        <v>260</v>
      </c>
      <c r="D15" s="105" t="s">
        <v>213</v>
      </c>
      <c r="E15" s="117" t="s">
        <v>261</v>
      </c>
      <c r="F15" s="548"/>
    </row>
    <row r="16" spans="2:6">
      <c r="B16" s="51" t="s">
        <v>266</v>
      </c>
      <c r="C16" s="91" t="s">
        <v>162</v>
      </c>
      <c r="D16" s="92" t="s">
        <v>215</v>
      </c>
      <c r="E16" s="93" t="s">
        <v>267</v>
      </c>
      <c r="F16" s="94">
        <v>44662</v>
      </c>
    </row>
    <row r="17" spans="2:6" ht="13.5" customHeight="1">
      <c r="B17" s="542" t="s">
        <v>273</v>
      </c>
      <c r="C17" s="113" t="s">
        <v>162</v>
      </c>
      <c r="D17" s="42" t="s">
        <v>254</v>
      </c>
      <c r="E17" s="114" t="s">
        <v>274</v>
      </c>
      <c r="F17" s="544">
        <v>44841</v>
      </c>
    </row>
    <row r="18" spans="2:6">
      <c r="B18" s="543"/>
      <c r="C18" s="115" t="s">
        <v>212</v>
      </c>
      <c r="D18" s="105" t="s">
        <v>275</v>
      </c>
      <c r="E18" s="104" t="s">
        <v>276</v>
      </c>
      <c r="F18" s="545"/>
    </row>
    <row r="19" spans="2:6">
      <c r="B19" s="154" t="s">
        <v>279</v>
      </c>
      <c r="C19" s="107" t="s">
        <v>162</v>
      </c>
      <c r="D19" s="43" t="s">
        <v>281</v>
      </c>
      <c r="E19" s="108" t="s">
        <v>282</v>
      </c>
      <c r="F19" s="541">
        <v>45755</v>
      </c>
    </row>
    <row r="20" spans="2:6">
      <c r="B20" s="154"/>
      <c r="C20" s="109" t="s">
        <v>212</v>
      </c>
      <c r="D20" s="54" t="s">
        <v>281</v>
      </c>
      <c r="E20" s="110" t="s">
        <v>283</v>
      </c>
      <c r="F20" s="541"/>
    </row>
    <row r="21" spans="2:6">
      <c r="B21" s="154"/>
      <c r="C21" s="109" t="s">
        <v>216</v>
      </c>
      <c r="D21" s="54" t="s">
        <v>281</v>
      </c>
      <c r="E21" s="110" t="s">
        <v>290</v>
      </c>
      <c r="F21" s="541"/>
    </row>
    <row r="22" spans="2:6" ht="24">
      <c r="B22" s="154"/>
      <c r="C22" s="109" t="s">
        <v>243</v>
      </c>
      <c r="D22" s="54" t="s">
        <v>286</v>
      </c>
      <c r="E22" s="110" t="s">
        <v>284</v>
      </c>
      <c r="F22" s="541"/>
    </row>
    <row r="23" spans="2:6">
      <c r="B23" s="154"/>
      <c r="C23" s="109" t="s">
        <v>260</v>
      </c>
      <c r="D23" s="54" t="s">
        <v>285</v>
      </c>
      <c r="E23" s="110" t="s">
        <v>287</v>
      </c>
      <c r="F23" s="541"/>
    </row>
    <row r="24" spans="2:6">
      <c r="B24" s="154"/>
      <c r="C24" s="111" t="s">
        <v>291</v>
      </c>
      <c r="D24" s="105" t="s">
        <v>288</v>
      </c>
      <c r="E24" s="112" t="s">
        <v>289</v>
      </c>
      <c r="F24" s="541"/>
    </row>
  </sheetData>
  <sheetProtection algorithmName="SHA-512" hashValue="lTZXkBsd7B+iMtr/XAmW/riaE+592gvIMOhg2CJCjtgx3BRYf3VFxL2Hq3VpvD6zm3Z/XeqtCWhYr7LRqPxs9g==" saltValue="BjulMuF1au9kywdsvowbIw==" spinCount="100000" sheet="1" selectLockedCells="1"/>
  <mergeCells count="10">
    <mergeCell ref="B19:B24"/>
    <mergeCell ref="F19:F24"/>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外皮計算書についてのQ&amp;A</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'外皮計算書についてのQ&amp;A'!Print_Area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kakunin</cp:lastModifiedBy>
  <cp:lastPrinted>2025-04-08T08:07:28Z</cp:lastPrinted>
  <dcterms:created xsi:type="dcterms:W3CDTF">2001-06-12T05:58:42Z</dcterms:created>
  <dcterms:modified xsi:type="dcterms:W3CDTF">2025-04-14T04:21:23Z</dcterms:modified>
</cp:coreProperties>
</file>